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ds416\UTI\2125_carapicuíba\OS-55 -CANALIZAÇÃO RUA CRISTAL\14-11\18-11\"/>
    </mc:Choice>
  </mc:AlternateContent>
  <xr:revisionPtr revIDLastSave="0" documentId="13_ncr:1_{56189EE2-7931-4179-8365-D3FE4B0E43AF}" xr6:coauthVersionLast="47" xr6:coauthVersionMax="47" xr10:uidLastSave="{00000000-0000-0000-0000-000000000000}"/>
  <bookViews>
    <workbookView xWindow="28680" yWindow="-120" windowWidth="29040" windowHeight="16440" firstSheet="4" activeTab="5" xr2:uid="{00000000-000D-0000-FFFF-FFFF00000000}"/>
  </bookViews>
  <sheets>
    <sheet name="Módulo4" sheetId="1" state="veryHidden" r:id="rId1"/>
    <sheet name="Módulo3" sheetId="2" state="veryHidden" r:id="rId2"/>
    <sheet name="Módulo2" sheetId="3" state="veryHidden" r:id="rId3"/>
    <sheet name="Módulo1" sheetId="4" state="veryHidden" r:id="rId4"/>
    <sheet name="ORÇAMENTO" sheetId="9" r:id="rId5"/>
    <sheet name="Cronograma" sheetId="101" r:id="rId6"/>
  </sheets>
  <definedNames>
    <definedName name="_Fill" hidden="1">#REF!</definedName>
    <definedName name="_xlnm._FilterDatabase" localSheetId="4" hidden="1">ORÇAMENTO!$A$9:$E$126</definedName>
    <definedName name="_xlnm.Print_Area" localSheetId="5">Cronograma!$A$1:$BA$29</definedName>
    <definedName name="_xlnm.Print_Area" localSheetId="4">ORÇAMENTO!$A$1:$G$148</definedName>
    <definedName name="_xlnm.Print_Titles" localSheetId="5">Cronograma!$A:$C,Cronograma!$1:$12</definedName>
    <definedName name="_xlnm.Print_Titles" localSheetId="4">ORÇAMENTO!$1:$9</definedName>
  </definedNames>
  <calcPr calcId="191029"/>
</workbook>
</file>

<file path=xl/calcChain.xml><?xml version="1.0" encoding="utf-8"?>
<calcChain xmlns="http://schemas.openxmlformats.org/spreadsheetml/2006/main">
  <c r="G145" i="9" l="1"/>
  <c r="BA18" i="101"/>
  <c r="BA16" i="101"/>
  <c r="B2" i="101"/>
  <c r="B6" i="101"/>
  <c r="F52" i="9" l="1"/>
  <c r="F79" i="9" l="1"/>
  <c r="F77" i="9"/>
  <c r="F78" i="9" s="1"/>
  <c r="G77" i="9"/>
  <c r="F69" i="9"/>
  <c r="G78" i="9" l="1"/>
  <c r="F82" i="9"/>
  <c r="G82" i="9" l="1"/>
  <c r="F112" i="9" l="1"/>
  <c r="F111" i="9"/>
  <c r="F109" i="9"/>
  <c r="F105" i="9"/>
  <c r="G110" i="9" l="1"/>
  <c r="G111" i="9"/>
  <c r="G112" i="9"/>
  <c r="G109" i="9"/>
  <c r="G69" i="9" l="1"/>
  <c r="G106" i="9" l="1"/>
  <c r="F14" i="9" l="1"/>
  <c r="G11" i="9" l="1"/>
  <c r="G13" i="9"/>
  <c r="G12" i="9"/>
  <c r="G14" i="9"/>
  <c r="G124" i="9"/>
  <c r="F114" i="9"/>
  <c r="F115" i="9" l="1"/>
  <c r="F116" i="9"/>
  <c r="F117" i="9" s="1"/>
  <c r="F86" i="9"/>
  <c r="G88" i="9" l="1"/>
  <c r="G117" i="9"/>
  <c r="G87" i="9"/>
  <c r="G89" i="9"/>
  <c r="G86" i="9"/>
  <c r="G83" i="9"/>
  <c r="G84" i="9"/>
  <c r="G85" i="9"/>
  <c r="B20" i="101" l="1"/>
  <c r="BA14" i="101"/>
  <c r="B18" i="101"/>
  <c r="F139" i="9"/>
  <c r="F22" i="9" l="1"/>
  <c r="G121" i="9" l="1"/>
  <c r="G122" i="9"/>
  <c r="G123" i="9"/>
  <c r="G125" i="9" l="1"/>
  <c r="G131" i="9"/>
  <c r="F138" i="9"/>
  <c r="F135" i="9"/>
  <c r="G139" i="9" l="1"/>
  <c r="F134" i="9"/>
  <c r="F132" i="9"/>
  <c r="F130" i="9"/>
  <c r="G135" i="9" l="1"/>
  <c r="G136" i="9"/>
  <c r="G137" i="9"/>
  <c r="G129" i="9"/>
  <c r="G138" i="9"/>
  <c r="G132" i="9"/>
  <c r="G133" i="9"/>
  <c r="G140" i="9"/>
  <c r="G134" i="9"/>
  <c r="G130" i="9"/>
  <c r="G141" i="9" l="1"/>
  <c r="F70" i="9"/>
  <c r="F118" i="9"/>
  <c r="G66" i="9" l="1"/>
  <c r="G68" i="9"/>
  <c r="G65" i="9"/>
  <c r="G67" i="9"/>
  <c r="G70" i="9"/>
  <c r="C18" i="101"/>
  <c r="AN18" i="101" l="1"/>
  <c r="X18" i="101"/>
  <c r="AH18" i="101"/>
  <c r="AF18" i="101"/>
  <c r="AT18" i="101"/>
  <c r="AD18" i="101"/>
  <c r="AR18" i="101"/>
  <c r="AL18" i="101"/>
  <c r="V18" i="101"/>
  <c r="AV18" i="101"/>
  <c r="AP18" i="101"/>
  <c r="AJ18" i="101"/>
  <c r="T18" i="101"/>
  <c r="AX18" i="101"/>
  <c r="AB18" i="101"/>
  <c r="Z18" i="101"/>
  <c r="L18" i="101"/>
  <c r="N18" i="101"/>
  <c r="G118" i="9"/>
  <c r="G79" i="9" l="1"/>
  <c r="G75" i="9" l="1"/>
  <c r="G76" i="9"/>
  <c r="G103" i="9"/>
  <c r="F96" i="9"/>
  <c r="F97" i="9" s="1"/>
  <c r="F98" i="9" s="1"/>
  <c r="F99" i="9" s="1"/>
  <c r="F100" i="9" l="1"/>
  <c r="G100" i="9" s="1"/>
  <c r="G114" i="9"/>
  <c r="G91" i="9"/>
  <c r="G92" i="9"/>
  <c r="G115" i="9"/>
  <c r="G116" i="9"/>
  <c r="G81" i="9"/>
  <c r="G80" i="9"/>
  <c r="G90" i="9"/>
  <c r="G96" i="9"/>
  <c r="G97" i="9"/>
  <c r="G98" i="9"/>
  <c r="G101" i="9"/>
  <c r="F104" i="9"/>
  <c r="G102" i="9"/>
  <c r="G99" i="9" l="1"/>
  <c r="G104" i="9"/>
  <c r="G105" i="9" l="1"/>
  <c r="G107" i="9" l="1"/>
  <c r="G108" i="9" l="1"/>
  <c r="G113" i="9" l="1"/>
  <c r="G119" i="9" l="1"/>
  <c r="F64" i="9"/>
  <c r="G57" i="9" l="1"/>
  <c r="G60" i="9"/>
  <c r="G62" i="9"/>
  <c r="G64" i="9"/>
  <c r="G58" i="9"/>
  <c r="G59" i="9"/>
  <c r="G63" i="9"/>
  <c r="G61" i="9"/>
  <c r="G74" i="9"/>
  <c r="G93" i="9" l="1"/>
  <c r="B5" i="101"/>
  <c r="G37" i="9" l="1"/>
  <c r="G36" i="9"/>
  <c r="G40" i="9"/>
  <c r="G38" i="9"/>
  <c r="G44" i="9"/>
  <c r="F32" i="9" l="1"/>
  <c r="F30" i="9"/>
  <c r="F29" i="9"/>
  <c r="F31" i="9" s="1"/>
  <c r="G31" i="9" l="1"/>
  <c r="G56" i="9" l="1"/>
  <c r="G49" i="9"/>
  <c r="G50" i="9"/>
  <c r="G51" i="9"/>
  <c r="G52" i="9" l="1"/>
  <c r="F53" i="9"/>
  <c r="F54" i="9" s="1"/>
  <c r="F55" i="9" l="1"/>
  <c r="G53" i="9"/>
  <c r="G30" i="9"/>
  <c r="G29" i="9" l="1"/>
  <c r="G54" i="9"/>
  <c r="G55" i="9"/>
  <c r="G71" i="9" l="1"/>
  <c r="G34" i="9"/>
  <c r="G22" i="9" l="1"/>
  <c r="G21" i="9"/>
  <c r="G35" i="9"/>
  <c r="G28" i="9" l="1"/>
  <c r="G26" i="9"/>
  <c r="G32" i="9"/>
  <c r="G27" i="9"/>
  <c r="G18" i="9"/>
  <c r="G19" i="9"/>
  <c r="G17" i="9"/>
  <c r="G20" i="9"/>
  <c r="G33" i="9"/>
  <c r="G15" i="9"/>
  <c r="G16" i="9"/>
  <c r="G23" i="9" l="1"/>
  <c r="C14" i="101" l="1"/>
  <c r="H18" i="101"/>
  <c r="F18" i="101"/>
  <c r="J18" i="101"/>
  <c r="P18" i="101"/>
  <c r="D18" i="101"/>
  <c r="AZ18" i="101" s="1"/>
  <c r="R18" i="101"/>
  <c r="BC12" i="101"/>
  <c r="B16" i="101"/>
  <c r="A16" i="101"/>
  <c r="B14" i="101"/>
  <c r="A14" i="101"/>
  <c r="D14" i="101" l="1"/>
  <c r="AZ14" i="101" s="1"/>
  <c r="G39" i="9" l="1"/>
  <c r="G41" i="9" l="1"/>
  <c r="BC14" i="101"/>
  <c r="G42" i="9" l="1"/>
  <c r="G43" i="9" l="1"/>
  <c r="G46" i="9" l="1"/>
  <c r="BC18" i="101"/>
  <c r="G126" i="9" l="1"/>
  <c r="G143" i="9" l="1"/>
  <c r="C16" i="101"/>
  <c r="AR16" i="101" l="1"/>
  <c r="AP16" i="101"/>
  <c r="Z16" i="101"/>
  <c r="X16" i="101"/>
  <c r="T16" i="101"/>
  <c r="L16" i="101"/>
  <c r="AD16" i="101"/>
  <c r="P16" i="101"/>
  <c r="AN16" i="101"/>
  <c r="AH16" i="101"/>
  <c r="AF16" i="101"/>
  <c r="AT16" i="101"/>
  <c r="AL16" i="101"/>
  <c r="V16" i="101"/>
  <c r="AJ16" i="101"/>
  <c r="AX16" i="101"/>
  <c r="J16" i="101"/>
  <c r="AV16" i="101"/>
  <c r="AB16" i="101"/>
  <c r="N16" i="101"/>
  <c r="R16" i="101"/>
  <c r="H16" i="101"/>
  <c r="F16" i="101"/>
  <c r="D16" i="101"/>
  <c r="G144" i="9"/>
  <c r="AH20" i="101" l="1"/>
  <c r="AJ20" i="101"/>
  <c r="AV20" i="101"/>
  <c r="AN20" i="101"/>
  <c r="V20" i="101"/>
  <c r="AL20" i="101"/>
  <c r="X20" i="101"/>
  <c r="AX20" i="101"/>
  <c r="AD20" i="101"/>
  <c r="T20" i="101"/>
  <c r="AT20" i="101"/>
  <c r="AB20" i="101"/>
  <c r="AF20" i="101"/>
  <c r="Z20" i="101"/>
  <c r="AP20" i="101"/>
  <c r="AR20" i="101"/>
  <c r="AZ16" i="101"/>
  <c r="D20" i="101"/>
  <c r="N20" i="101"/>
  <c r="L20" i="101"/>
  <c r="P20" i="101"/>
  <c r="C20" i="101"/>
  <c r="G146" i="9"/>
  <c r="C22" i="101" s="1"/>
  <c r="F20" i="101"/>
  <c r="J20" i="101"/>
  <c r="H20" i="101"/>
  <c r="R20" i="101"/>
  <c r="AZ20" i="101" l="1"/>
  <c r="BC20" i="101" s="1"/>
  <c r="AB22" i="101"/>
  <c r="AC22" i="101" s="1"/>
  <c r="V22" i="101"/>
  <c r="V24" i="101" s="1"/>
  <c r="AJ22" i="101"/>
  <c r="AK22" i="101" s="1"/>
  <c r="AS20" i="101"/>
  <c r="BC16" i="101"/>
  <c r="AN22" i="101"/>
  <c r="AO22" i="101" s="1"/>
  <c r="AJ24" i="101"/>
  <c r="AT22" i="101"/>
  <c r="AU22" i="101" s="1"/>
  <c r="AR22" i="101"/>
  <c r="AS22" i="101" s="1"/>
  <c r="AX22" i="101"/>
  <c r="AY22" i="101" s="1"/>
  <c r="Z22" i="101"/>
  <c r="AA22" i="101" s="1"/>
  <c r="U20" i="101"/>
  <c r="AL22" i="101"/>
  <c r="AM22" i="101" s="1"/>
  <c r="AK20" i="101"/>
  <c r="AC20" i="101"/>
  <c r="AY20" i="101"/>
  <c r="AO20" i="101"/>
  <c r="T22" i="101"/>
  <c r="U22" i="101" s="1"/>
  <c r="AQ20" i="101"/>
  <c r="Y20" i="101"/>
  <c r="W20" i="101"/>
  <c r="AA20" i="101"/>
  <c r="AM20" i="101"/>
  <c r="E20" i="101"/>
  <c r="AP22" i="101"/>
  <c r="AQ22" i="101" s="1"/>
  <c r="AG20" i="101"/>
  <c r="AU20" i="101"/>
  <c r="AE20" i="101"/>
  <c r="AW20" i="101"/>
  <c r="AI20" i="101"/>
  <c r="AF22" i="101"/>
  <c r="AG22" i="101" s="1"/>
  <c r="AD22" i="101"/>
  <c r="AE22" i="101" s="1"/>
  <c r="X22" i="101"/>
  <c r="Y22" i="101" s="1"/>
  <c r="AV22" i="101"/>
  <c r="AW22" i="101" s="1"/>
  <c r="AH22" i="101"/>
  <c r="AI22" i="101" s="1"/>
  <c r="L22" i="101"/>
  <c r="M22" i="101" s="1"/>
  <c r="R22" i="101"/>
  <c r="R24" i="101" s="1"/>
  <c r="H22" i="101"/>
  <c r="I22" i="101" s="1"/>
  <c r="F22" i="101"/>
  <c r="G22" i="101" s="1"/>
  <c r="C24" i="101"/>
  <c r="AZ24" i="101" s="1"/>
  <c r="P22" i="101"/>
  <c r="Q22" i="101" s="1"/>
  <c r="O20" i="101"/>
  <c r="G20" i="101"/>
  <c r="J22" i="101"/>
  <c r="K22" i="101" s="1"/>
  <c r="I20" i="101"/>
  <c r="G148" i="9"/>
  <c r="M20" i="101"/>
  <c r="D22" i="101"/>
  <c r="K20" i="101"/>
  <c r="N22" i="101"/>
  <c r="S20" i="101"/>
  <c r="Q20" i="101"/>
  <c r="W22" i="101" l="1"/>
  <c r="AN24" i="101"/>
  <c r="AO24" i="101" s="1"/>
  <c r="AB24" i="101"/>
  <c r="AP24" i="101"/>
  <c r="AQ24" i="101" s="1"/>
  <c r="X24" i="101"/>
  <c r="Y24" i="101" s="1"/>
  <c r="AZ22" i="101"/>
  <c r="AD24" i="101"/>
  <c r="AE24" i="101" s="1"/>
  <c r="AR24" i="101"/>
  <c r="AS24" i="101" s="1"/>
  <c r="AC24" i="101"/>
  <c r="AF24" i="101"/>
  <c r="AG24" i="101" s="1"/>
  <c r="Z24" i="101"/>
  <c r="AA24" i="101" s="1"/>
  <c r="T24" i="101"/>
  <c r="U24" i="101" s="1"/>
  <c r="W24" i="101"/>
  <c r="AK24" i="101"/>
  <c r="AX24" i="101"/>
  <c r="AY24" i="101" s="1"/>
  <c r="AL24" i="101"/>
  <c r="AM24" i="101" s="1"/>
  <c r="AH24" i="101"/>
  <c r="AI24" i="101" s="1"/>
  <c r="AV24" i="101"/>
  <c r="AW24" i="101" s="1"/>
  <c r="BA20" i="101"/>
  <c r="AT24" i="101"/>
  <c r="AU24" i="101" s="1"/>
  <c r="L24" i="101"/>
  <c r="M24" i="101" s="1"/>
  <c r="S22" i="101"/>
  <c r="F24" i="101"/>
  <c r="G24" i="101" s="1"/>
  <c r="S24" i="101"/>
  <c r="H24" i="101"/>
  <c r="I24" i="101" s="1"/>
  <c r="P24" i="101"/>
  <c r="Q24" i="101" s="1"/>
  <c r="J24" i="101"/>
  <c r="K24" i="101" s="1"/>
  <c r="E22" i="101"/>
  <c r="N24" i="101"/>
  <c r="O24" i="101" s="1"/>
  <c r="O22" i="101"/>
  <c r="D24" i="101"/>
  <c r="E24" i="101" s="1"/>
  <c r="BA22" i="101" l="1"/>
  <c r="BC24" i="101"/>
  <c r="BC22" i="101"/>
  <c r="BA24" i="101"/>
</calcChain>
</file>

<file path=xl/sharedStrings.xml><?xml version="1.0" encoding="utf-8"?>
<sst xmlns="http://schemas.openxmlformats.org/spreadsheetml/2006/main" count="527" uniqueCount="225">
  <si>
    <t>UN</t>
  </si>
  <si>
    <t>QUANTIDADE</t>
  </si>
  <si>
    <t>VALOR</t>
  </si>
  <si>
    <t>ITEM</t>
  </si>
  <si>
    <t>NATUREZA DOS SERVIÇOS</t>
  </si>
  <si>
    <t>PREÇO</t>
  </si>
  <si>
    <t>UNITÁRIO</t>
  </si>
  <si>
    <t>2</t>
  </si>
  <si>
    <t>TOTAL GERAL</t>
  </si>
  <si>
    <t>FONTE</t>
  </si>
  <si>
    <t xml:space="preserve">B.D.I. </t>
  </si>
  <si>
    <t>DER-SP</t>
  </si>
  <si>
    <t>SERVIÇOS PRELIMINARES</t>
  </si>
  <si>
    <t>CDHU</t>
  </si>
  <si>
    <t>05.10.023</t>
  </si>
  <si>
    <t>07.01.120</t>
  </si>
  <si>
    <t>11.16.080</t>
  </si>
  <si>
    <t>10.01.040</t>
  </si>
  <si>
    <t>SISTEMA DE DRENAGEM</t>
  </si>
  <si>
    <t>02.02.120</t>
  </si>
  <si>
    <t>02.02.130</t>
  </si>
  <si>
    <t>02.02.140</t>
  </si>
  <si>
    <t>02.02.150</t>
  </si>
  <si>
    <t>02.02.160</t>
  </si>
  <si>
    <t>02.08.020</t>
  </si>
  <si>
    <t>PREFEITURA DO MUNICIPIO DE CARAPICUÍBA</t>
  </si>
  <si>
    <t>TOTAL DOS SERVIÇOS PRELIMINARES (1)</t>
  </si>
  <si>
    <t>2.1</t>
  </si>
  <si>
    <t>INFRA</t>
  </si>
  <si>
    <t>TOTAL  DO SISTEMA DE DRENAGEM (2)</t>
  </si>
  <si>
    <t>TOTAL</t>
  </si>
  <si>
    <t>CRONOGRAMA - FÍSICO-FINANCEIRO</t>
  </si>
  <si>
    <t>Item</t>
  </si>
  <si>
    <t>Servico</t>
  </si>
  <si>
    <t>Valor Parcial</t>
  </si>
  <si>
    <t>1ª MÊS</t>
  </si>
  <si>
    <t>2ª MÊS</t>
  </si>
  <si>
    <t>3ª MÊS</t>
  </si>
  <si>
    <t>4ª MÊS</t>
  </si>
  <si>
    <t>%</t>
  </si>
  <si>
    <t>BDI</t>
  </si>
  <si>
    <t>Valor Parcial S/BDI</t>
  </si>
  <si>
    <t>SUB-TOTAL (1)</t>
  </si>
  <si>
    <t>05.10.024</t>
  </si>
  <si>
    <t>02.10.040</t>
  </si>
  <si>
    <t>02.10.060</t>
  </si>
  <si>
    <t>2.2</t>
  </si>
  <si>
    <t>GALERIA EM TUBOS</t>
  </si>
  <si>
    <t>TOTAL DA GALERIA EM TUBOS (2.1)</t>
  </si>
  <si>
    <t>07.02.060</t>
  </si>
  <si>
    <t>07.11.020</t>
  </si>
  <si>
    <t>05.09.007</t>
  </si>
  <si>
    <t>08.01.040</t>
  </si>
  <si>
    <t>11.18.040</t>
  </si>
  <si>
    <t>49.12.140</t>
  </si>
  <si>
    <t>49.12.120</t>
  </si>
  <si>
    <t>49.06.420</t>
  </si>
  <si>
    <t>49.12.030</t>
  </si>
  <si>
    <t>5ª MÊS</t>
  </si>
  <si>
    <t>6ª MÊS</t>
  </si>
  <si>
    <t>46.12.070</t>
  </si>
  <si>
    <t>46.13.105</t>
  </si>
  <si>
    <t>46.13.106</t>
  </si>
  <si>
    <t>46.13.104</t>
  </si>
  <si>
    <t>49.12.050</t>
  </si>
  <si>
    <t>49.12.110</t>
  </si>
  <si>
    <t>GALERIA RETANGULAR EM CONCRETO</t>
  </si>
  <si>
    <t>TOTAL DA GALERIA RETANGULAR EM CONCRETO (2.2)</t>
  </si>
  <si>
    <t>11.18.140</t>
  </si>
  <si>
    <t>17.01.040</t>
  </si>
  <si>
    <t>11.01.320</t>
  </si>
  <si>
    <t>09.02.020</t>
  </si>
  <si>
    <t>2.3</t>
  </si>
  <si>
    <t>SHAFT</t>
  </si>
  <si>
    <t>TOTAL DO SHAFT (2.3)</t>
  </si>
  <si>
    <t>2.4</t>
  </si>
  <si>
    <t>"TUNNEL LINER"</t>
  </si>
  <si>
    <t>TOTAL DO "TUNNEL LINER" (2.4)</t>
  </si>
  <si>
    <t>CPU</t>
  </si>
  <si>
    <t>EXECUÇÃO DE "TUNNEL LINER" INCLUSA MONTAGEM DAS CHAPAS E CONSOLIDAÇÃO EXTERNA COM INJEÇÃO DE SOLO-CIMENTO, SEM FORNECIMENTO DAS CHAPAS DE AÇO, SOLO E CIMENTO - DIÂMETRO 3,20M</t>
  </si>
  <si>
    <t>M</t>
  </si>
  <si>
    <t>03.01.040</t>
  </si>
  <si>
    <t>05.08.060</t>
  </si>
  <si>
    <t>05.08.080</t>
  </si>
  <si>
    <t>05.08.100</t>
  </si>
  <si>
    <t>07.01.010</t>
  </si>
  <si>
    <t>07.12.030</t>
  </si>
  <si>
    <t>05.10.026</t>
  </si>
  <si>
    <t>05.09.006</t>
  </si>
  <si>
    <t>PROJETO EXECUTIVO - DETALHAMENTO</t>
  </si>
  <si>
    <t>3</t>
  </si>
  <si>
    <t>RECOMPOSIÇÃO DE PAVIMENTO POR ABERTURA DE VALAS</t>
  </si>
  <si>
    <t>TOTAL DE RECOMPOSIÇÃO DE PAVIMENTO (3)</t>
  </si>
  <si>
    <t>04.40.010</t>
  </si>
  <si>
    <t>03.01.240</t>
  </si>
  <si>
    <t>54.06.100</t>
  </si>
  <si>
    <t>54.06.040</t>
  </si>
  <si>
    <t>54.06.170</t>
  </si>
  <si>
    <t>54.03.200</t>
  </si>
  <si>
    <t>54.03.230</t>
  </si>
  <si>
    <t>54.03.240</t>
  </si>
  <si>
    <t>54.03.210</t>
  </si>
  <si>
    <t>05.08.140</t>
  </si>
  <si>
    <t>54.01.210</t>
  </si>
  <si>
    <t>03.07.010</t>
  </si>
  <si>
    <t>2.5</t>
  </si>
  <si>
    <t>RECUPERAÇÃO DE GALERIA EXISTENTE</t>
  </si>
  <si>
    <t>TOTAL DO "TUNNEL LINER" (2.5)</t>
  </si>
  <si>
    <t>SUBTOTAL (2)</t>
  </si>
  <si>
    <t>7ª MÊS</t>
  </si>
  <si>
    <t>8ª MÊS</t>
  </si>
  <si>
    <t>4</t>
  </si>
  <si>
    <t>6</t>
  </si>
  <si>
    <t>01.20.010</t>
  </si>
  <si>
    <t>01.20.721</t>
  </si>
  <si>
    <t>01.21.010</t>
  </si>
  <si>
    <t>01.21.110</t>
  </si>
  <si>
    <t>25.03.04.03</t>
  </si>
  <si>
    <t xml:space="preserve">SOLO CIMENTO ENSACADO, COM TEOR DE CIMENTO A 4%                                </t>
  </si>
  <si>
    <t>M3</t>
  </si>
  <si>
    <t>10.02.020</t>
  </si>
  <si>
    <t>08.07.050</t>
  </si>
  <si>
    <t>08.07.060</t>
  </si>
  <si>
    <t>08.07.070</t>
  </si>
  <si>
    <t>ORÇAMENTO: CDHU -AGOSTO/2024  - SIURB - JULHO/2024 - DER/SP - JUL/2024 - SEM DESONERAÇÃO</t>
  </si>
  <si>
    <t>SECRETARIA DE PROJETOS ESPECIAIS, CONVÊNIOS E HABITAÇÃO</t>
  </si>
  <si>
    <t>OBRA:  CONSTRUÇÃO DA NOVA REDE DE DRENAGEM DO CÓRREGO CADAVAL (ENTRE</t>
  </si>
  <si>
    <t>A RUA MONTE AZUL PAULISTA E RUA SERRA DOS CRISTAIS)</t>
  </si>
  <si>
    <t>9ª MÊS</t>
  </si>
  <si>
    <t>10ª MÊS</t>
  </si>
  <si>
    <t>11ª MÊS</t>
  </si>
  <si>
    <t>12ª MÊS</t>
  </si>
  <si>
    <t>13ª MÊS</t>
  </si>
  <si>
    <t>14ª MÊS</t>
  </si>
  <si>
    <t>15ª MÊS</t>
  </si>
  <si>
    <t>16ª MÊS</t>
  </si>
  <si>
    <t>17ª MÊS</t>
  </si>
  <si>
    <t>18ª MÊS</t>
  </si>
  <si>
    <t>19ª MÊS</t>
  </si>
  <si>
    <t>20ª MÊS</t>
  </si>
  <si>
    <t>21ª MÊS</t>
  </si>
  <si>
    <t>22ª MÊS</t>
  </si>
  <si>
    <t>23ª MÊS</t>
  </si>
  <si>
    <t>24ª MÊS</t>
  </si>
  <si>
    <t>Taxa de mobilização e desmobilização de equipamentos para execução de levantamento topográfico</t>
  </si>
  <si>
    <t>TX</t>
  </si>
  <si>
    <t>Levantamento planimétrico cadastral com áreas até 50% de ocupação - área até 20.000 m² (mínimo de 3.500 m²)</t>
  </si>
  <si>
    <t>M2</t>
  </si>
  <si>
    <t>Taxa de mobilização e desmobilização de equipamentos para execução de sondagem</t>
  </si>
  <si>
    <t>Sondagem do terreno à percussão (mínimo de 30 m)</t>
  </si>
  <si>
    <t>Locação de container tipo alojamento - área mínima de 13,80 m²</t>
  </si>
  <si>
    <t>UNMES</t>
  </si>
  <si>
    <t>Locação de container tipo escritório com 1 vaso sanitário, 1 lavatório e 1 ponto para chuveiro - área mínima de 13,80 m²</t>
  </si>
  <si>
    <t>Locação de container tipo sanitário com 2 vasos sanitários, 2 lavatórios, 2 mictórios e 4 pontos para chuveiro - área mínima de 13,80 m²</t>
  </si>
  <si>
    <t>Locação de container tipo depósito - área mínima de 13,80 m²</t>
  </si>
  <si>
    <t>Locação de container tipo guarita - área mínima de 4,60 m²</t>
  </si>
  <si>
    <t>Placa de identificação para obra</t>
  </si>
  <si>
    <t>Locação de rede de canalização</t>
  </si>
  <si>
    <t>Locação de vias, calçadas, tanques e lagoas</t>
  </si>
  <si>
    <t>Escavação mecanizada de valas ou cavas com profundidade de até 4 m</t>
  </si>
  <si>
    <t>Reaterro compactado mecanizado de vala ou cava com compactador</t>
  </si>
  <si>
    <t>Carga e remoção de terra até a distância média de 1 km</t>
  </si>
  <si>
    <t>Transporte de solo de 1ª e 2ª categoria por caminhão para distâncias superiores ao 5° km até o 10° km</t>
  </si>
  <si>
    <t>Transporte de solo de 1ª e 2ª categoria por caminhão para distâncias superiores ao 10° km até o 15° km</t>
  </si>
  <si>
    <t>Transporte de solo de 1ª e 2ª categoria por caminhão para distâncias superiores ao 20° km</t>
  </si>
  <si>
    <t>M3XKM</t>
  </si>
  <si>
    <t>Taxa de destinação de resíduo sólido em aterro, tipo solo/terra</t>
  </si>
  <si>
    <t>Escoramento de solo descontínuo</t>
  </si>
  <si>
    <t>Lastro de pedra britada</t>
  </si>
  <si>
    <t>Tubo de concreto (PS-2), DN= 500mm</t>
  </si>
  <si>
    <t>Tubo em polietileno de alta densidade corrugado, DN/DI= 600 mm</t>
  </si>
  <si>
    <t>Tubo em polietileno de alta densidade corrugado, DN/DI= 800 mm</t>
  </si>
  <si>
    <t>Tubo em polietileno de alta densidade corrugado, DN/DI= 1000 mm</t>
  </si>
  <si>
    <t>Poço de visita em alvenaria tipo PMSP - balão</t>
  </si>
  <si>
    <t>Poço de visita de 1,60 x 1,60 x 1,60 m - tipo PMSP</t>
  </si>
  <si>
    <t>Chaminé para poço de visita tipo PMSP em alvenaria, diâmetro interno 70 cm - pescoço</t>
  </si>
  <si>
    <t>Tampão em ferro fundido, diâmetro de 600 mm, classe D 400 (ruptura&gt; 400 kN)</t>
  </si>
  <si>
    <t>Boca de lobo dupla tipo PMSP com tampa de concreto</t>
  </si>
  <si>
    <t>Boca de lobo tripla tipo PMSP com tampa de concreto</t>
  </si>
  <si>
    <t>Lastro e/ou fundação em rachão mecanizado</t>
  </si>
  <si>
    <t>Lastro de concreto impermeabilizado</t>
  </si>
  <si>
    <t>Forma plana em compensado para estrutura convencional</t>
  </si>
  <si>
    <t>Armadura em barra de aço CA-50 (A ou B) fyk = 500 MPa</t>
  </si>
  <si>
    <t>KG</t>
  </si>
  <si>
    <t>Concreto usinado, fck = 30 MPa - para bombeamento</t>
  </si>
  <si>
    <t>Lançamento e adensamento de concreto ou massa por bombeamento</t>
  </si>
  <si>
    <t>Demolição manual de concreto armado</t>
  </si>
  <si>
    <t>Transporte de entulho, para distâncias superiores ao 3° km até o 5° km</t>
  </si>
  <si>
    <t>Transporte de entulho, para distâncias superiores ao 5° km até o 10° km</t>
  </si>
  <si>
    <t>Transporte de entulho, para distâncias superiores ao 10° km até o 15° km</t>
  </si>
  <si>
    <t>Transporte de entulho, para distâncias superiores ao 20° km</t>
  </si>
  <si>
    <t>Taxa de destinação de resíduo sólido em aterro, tipo inerte</t>
  </si>
  <si>
    <t>T</t>
  </si>
  <si>
    <t>Escavação e carga mecanizada para exploração de solo em jazida</t>
  </si>
  <si>
    <t>Compactação de aterro mecanizado a 100% PN, sem fornecimento de solo em campo aberto</t>
  </si>
  <si>
    <t>ESCAVAÇÃO MANUAL EM SOLO PARA EXECUÇÃO DE POÇO DE ACESSO</t>
  </si>
  <si>
    <t>EXECUÇÃO DE POÇO DE ACESSO EM CHAPA DE AÇO CORRUGADA, INCLUSA MONTAGEM DAS CHAPAS E CONSOLIDAÇÃO EXTERNA COM INJEÇÃO DE SOLO-CIMENTO, SEM FORNECIMENTO DE SOLO, CIMENTO E CHAPAS DE AÇO - DIÂMETRO 3,20M</t>
  </si>
  <si>
    <t>FORNECIMENTO DE CHAPA DE AÇO CORRUGADA, TIPO "TUNNEL LINER", GALVANIZADA - DIÂMETRO 3,20M E ESPESSURA 3,40MM</t>
  </si>
  <si>
    <t>POÇO DE VISITA TIPO 3 - 2,20 X 2,20 X 2,20M</t>
  </si>
  <si>
    <t>ESCAVAÇÃO MANUAL EM SOLO PARA EXECUÇÃO DE TÚNEL POR SISTEMA NÃO DESTRUTIVO, INCLUSIVE REMOÇÃO DO MATERIAL ESCAVADO ATÉ FORA DO POÇO</t>
  </si>
  <si>
    <t>ILUMINAÇÃO E VENTILAÇÃO PARA EXECUÇÃO DE TÚNEL POR SISTEMA NÃO DESTRUTIVO</t>
  </si>
  <si>
    <t>FORNECIMENTO E APLICAÇÃO DE ENFILAGEM, COM TUBO DE AÇO, DIÂMETRO 2 1/2" E PAREDE DE 5,16MM DE ESPESSURA, EXCETO INJEÇÃO, PARA IMPLATAÇÃO DE TÚNEL NATM</t>
  </si>
  <si>
    <t>CALDA DE CIMENTO PARA INJEÇÃO - FORNECIMENTO, PREPARO E APLICAÇÃO</t>
  </si>
  <si>
    <t>L</t>
  </si>
  <si>
    <t>Armadura em tela soldada de aço</t>
  </si>
  <si>
    <t>FORNECIMENTO, PREPARO E APLICAÇÃO DE CONCRETO PROJETADO, MEDIDO NO PROJETO - FCK = 30MPA - EM OBRAS DE CONTENÇÃO</t>
  </si>
  <si>
    <t>ESTACA TIPO RAIZ, 120MM, COM PERFURAÇÃO EM SOLO - 15T</t>
  </si>
  <si>
    <t>Taxa de mobilização e desmobilização de equipamentos para execução de rebaixamento de lençol freático</t>
  </si>
  <si>
    <t>Locação de conjunto de bombeamento a vácuo para rebaixamento de lençol freático, com até 50 ponteiras e potência até 15 HP, mínimo 30 dias</t>
  </si>
  <si>
    <t>CJxDI</t>
  </si>
  <si>
    <t>Ponteiras filtrantes, profundidade até 5 m</t>
  </si>
  <si>
    <t>JATEAMENTO PARA LIMPEZA DE FERRAGENS E SUPERFÍCIES DE CONCRETO</t>
  </si>
  <si>
    <t>Retirada manual de guia pré-moldada, inclusive limpeza, carregamento, transporte até 1 quilômetro e descarregamento</t>
  </si>
  <si>
    <t>Demolição mecanizada de pavimento ou piso em concreto, inclusive fragmentação, carregamento, transporte até 1 quilômetro e descarregamento</t>
  </si>
  <si>
    <t>Demolição (levantamento) mecanizada de pavimento asfáltico, inclusive carregamento, transporte até 1 quilômetro e descarregamento</t>
  </si>
  <si>
    <t>Base em concreto com fck de 20 MPa, para guias, sarjetas ou sarjetões</t>
  </si>
  <si>
    <t>Guia pré-moldada reta tipo PMSP 100 - fck 25 MPa</t>
  </si>
  <si>
    <t>Sarjeta ou sarjetão moldado no local, tipo PMSP em concreto com fck 25 MPa</t>
  </si>
  <si>
    <t>Concreto asfáltico usinado a quente - Binder</t>
  </si>
  <si>
    <t>Imprimação betuminosa ligante</t>
  </si>
  <si>
    <t>Imprimação betuminosa impermeabilizante</t>
  </si>
  <si>
    <t>Camada de rolamento em concreto betuminoso usinado quente - CBUQ</t>
  </si>
  <si>
    <t>Base de brita graduada</t>
  </si>
  <si>
    <t>DATA: 18/11/2024</t>
  </si>
  <si>
    <t>18/11/2024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</si>
</sst>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00\-00\-00"/>
    <numFmt numFmtId="166" formatCode="00\-000\-000"/>
  </numFmts>
  <fonts count="24" x14ac:knownFonts="1"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2"/>
      <name val="Times New Roman"/>
      <family val="1"/>
    </font>
    <font>
      <b/>
      <sz val="9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4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Calibri Bold"/>
    </font>
    <font>
      <b/>
      <sz val="10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39" fontId="0" fillId="0" borderId="0"/>
    <xf numFmtId="164" fontId="4" fillId="0" borderId="0" applyFont="0" applyFill="0" applyBorder="0" applyAlignment="0" applyProtection="0"/>
    <xf numFmtId="0" fontId="3" fillId="0" borderId="0"/>
    <xf numFmtId="44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112">
    <xf numFmtId="39" fontId="0" fillId="0" borderId="0" xfId="0"/>
    <xf numFmtId="39" fontId="0" fillId="0" borderId="6" xfId="0" applyBorder="1"/>
    <xf numFmtId="39" fontId="0" fillId="0" borderId="7" xfId="0" applyBorder="1"/>
    <xf numFmtId="39" fontId="0" fillId="0" borderId="8" xfId="0" applyBorder="1"/>
    <xf numFmtId="39" fontId="5" fillId="0" borderId="2" xfId="0" applyFont="1" applyBorder="1"/>
    <xf numFmtId="39" fontId="6" fillId="0" borderId="3" xfId="0" applyFont="1" applyBorder="1"/>
    <xf numFmtId="164" fontId="10" fillId="0" borderId="3" xfId="1" quotePrefix="1" applyFont="1" applyBorder="1" applyAlignment="1" applyProtection="1">
      <alignment horizontal="center" vertical="top"/>
    </xf>
    <xf numFmtId="164" fontId="10" fillId="0" borderId="3" xfId="1" applyFont="1" applyBorder="1" applyAlignment="1" applyProtection="1"/>
    <xf numFmtId="4" fontId="6" fillId="0" borderId="3" xfId="0" applyNumberFormat="1" applyFont="1" applyBorder="1"/>
    <xf numFmtId="39" fontId="6" fillId="0" borderId="3" xfId="0" applyFont="1" applyBorder="1" applyAlignment="1">
      <alignment vertical="top"/>
    </xf>
    <xf numFmtId="0" fontId="11" fillId="0" borderId="3" xfId="0" applyNumberFormat="1" applyFont="1" applyBorder="1" applyAlignment="1">
      <alignment vertical="top" wrapText="1"/>
    </xf>
    <xf numFmtId="4" fontId="11" fillId="0" borderId="3" xfId="0" applyNumberFormat="1" applyFont="1" applyBorder="1" applyAlignment="1">
      <alignment horizontal="center" wrapText="1"/>
    </xf>
    <xf numFmtId="4" fontId="6" fillId="0" borderId="3" xfId="0" applyNumberFormat="1" applyFont="1" applyBorder="1" applyProtection="1">
      <protection locked="0"/>
    </xf>
    <xf numFmtId="4" fontId="11" fillId="0" borderId="3" xfId="0" applyNumberFormat="1" applyFont="1" applyBorder="1" applyAlignment="1">
      <alignment wrapText="1"/>
    </xf>
    <xf numFmtId="164" fontId="10" fillId="0" borderId="3" xfId="1" applyFont="1" applyBorder="1" applyAlignment="1" applyProtection="1">
      <alignment horizontal="left"/>
    </xf>
    <xf numFmtId="164" fontId="6" fillId="0" borderId="3" xfId="1" applyFont="1" applyBorder="1"/>
    <xf numFmtId="4" fontId="6" fillId="0" borderId="3" xfId="1" applyNumberFormat="1" applyFont="1" applyBorder="1" applyProtection="1"/>
    <xf numFmtId="49" fontId="6" fillId="0" borderId="3" xfId="1" applyNumberFormat="1" applyFont="1" applyBorder="1" applyAlignment="1">
      <alignment horizontal="center"/>
    </xf>
    <xf numFmtId="164" fontId="6" fillId="0" borderId="3" xfId="1" applyFont="1" applyBorder="1" applyAlignment="1">
      <alignment horizontal="center" vertical="top"/>
    </xf>
    <xf numFmtId="39" fontId="6" fillId="0" borderId="3" xfId="0" quotePrefix="1" applyFont="1" applyBorder="1" applyAlignment="1">
      <alignment horizontal="left" vertical="top"/>
    </xf>
    <xf numFmtId="10" fontId="6" fillId="0" borderId="3" xfId="1" applyNumberFormat="1" applyFont="1" applyBorder="1" applyAlignment="1">
      <alignment horizontal="center"/>
    </xf>
    <xf numFmtId="39" fontId="6" fillId="3" borderId="3" xfId="0" applyFont="1" applyFill="1" applyBorder="1"/>
    <xf numFmtId="39" fontId="10" fillId="3" borderId="3" xfId="0" applyFont="1" applyFill="1" applyBorder="1" applyAlignment="1">
      <alignment horizontal="left"/>
    </xf>
    <xf numFmtId="39" fontId="10" fillId="3" borderId="3" xfId="0" applyFont="1" applyFill="1" applyBorder="1"/>
    <xf numFmtId="4" fontId="10" fillId="3" borderId="3" xfId="0" applyNumberFormat="1" applyFont="1" applyFill="1" applyBorder="1"/>
    <xf numFmtId="164" fontId="10" fillId="2" borderId="3" xfId="1" applyFont="1" applyFill="1" applyBorder="1" applyAlignment="1">
      <alignment horizontal="center" vertical="top"/>
    </xf>
    <xf numFmtId="164" fontId="10" fillId="2" borderId="3" xfId="1" applyFont="1" applyFill="1" applyBorder="1" applyAlignment="1" applyProtection="1">
      <alignment horizontal="left"/>
    </xf>
    <xf numFmtId="49" fontId="10" fillId="2" borderId="3" xfId="1" applyNumberFormat="1" applyFont="1" applyFill="1" applyBorder="1" applyAlignment="1">
      <alignment horizontal="center"/>
    </xf>
    <xf numFmtId="4" fontId="10" fillId="2" borderId="3" xfId="0" applyNumberFormat="1" applyFont="1" applyFill="1" applyBorder="1" applyAlignment="1">
      <alignment horizontal="center"/>
    </xf>
    <xf numFmtId="4" fontId="10" fillId="2" borderId="3" xfId="1" applyNumberFormat="1" applyFont="1" applyFill="1" applyBorder="1" applyAlignment="1">
      <alignment horizontal="center"/>
    </xf>
    <xf numFmtId="4" fontId="10" fillId="2" borderId="3" xfId="0" applyNumberFormat="1" applyFont="1" applyFill="1" applyBorder="1"/>
    <xf numFmtId="44" fontId="10" fillId="3" borderId="3" xfId="3" applyFont="1" applyFill="1" applyBorder="1" applyProtection="1"/>
    <xf numFmtId="39" fontId="6" fillId="0" borderId="2" xfId="0" quotePrefix="1" applyFont="1" applyBorder="1" applyAlignment="1">
      <alignment horizontal="center"/>
    </xf>
    <xf numFmtId="39" fontId="13" fillId="0" borderId="2" xfId="0" quotePrefix="1" applyFont="1" applyBorder="1" applyAlignment="1">
      <alignment horizontal="center"/>
    </xf>
    <xf numFmtId="49" fontId="13" fillId="0" borderId="9" xfId="0" quotePrefix="1" applyNumberFormat="1" applyFont="1" applyBorder="1" applyAlignment="1">
      <alignment horizontal="center"/>
    </xf>
    <xf numFmtId="39" fontId="10" fillId="0" borderId="11" xfId="0" applyFont="1" applyBorder="1" applyAlignment="1">
      <alignment horizontal="center" vertical="center"/>
    </xf>
    <xf numFmtId="39" fontId="10" fillId="0" borderId="10" xfId="0" applyFont="1" applyBorder="1" applyAlignment="1">
      <alignment horizontal="center" vertical="center"/>
    </xf>
    <xf numFmtId="39" fontId="7" fillId="0" borderId="0" xfId="0" applyFont="1" applyAlignment="1">
      <alignment horizontal="center"/>
    </xf>
    <xf numFmtId="0" fontId="3" fillId="0" borderId="0" xfId="2"/>
    <xf numFmtId="49" fontId="15" fillId="0" borderId="0" xfId="2" applyNumberFormat="1" applyFont="1" applyAlignment="1">
      <alignment horizontal="left" vertical="center"/>
    </xf>
    <xf numFmtId="0" fontId="1" fillId="0" borderId="0" xfId="2" applyFont="1"/>
    <xf numFmtId="49" fontId="16" fillId="0" borderId="0" xfId="2" applyNumberFormat="1" applyFont="1" applyAlignment="1">
      <alignment vertical="center"/>
    </xf>
    <xf numFmtId="49" fontId="17" fillId="0" borderId="0" xfId="2" applyNumberFormat="1" applyFont="1" applyAlignment="1">
      <alignment vertical="center" wrapText="1"/>
    </xf>
    <xf numFmtId="49" fontId="16" fillId="4" borderId="3" xfId="2" applyNumberFormat="1" applyFont="1" applyFill="1" applyBorder="1" applyAlignment="1">
      <alignment horizontal="center"/>
    </xf>
    <xf numFmtId="0" fontId="3" fillId="0" borderId="3" xfId="2" applyBorder="1"/>
    <xf numFmtId="1" fontId="19" fillId="0" borderId="3" xfId="2" applyNumberFormat="1" applyFont="1" applyBorder="1" applyAlignment="1">
      <alignment horizontal="center"/>
    </xf>
    <xf numFmtId="49" fontId="19" fillId="0" borderId="3" xfId="2" applyNumberFormat="1" applyFont="1" applyBorder="1"/>
    <xf numFmtId="43" fontId="20" fillId="0" borderId="3" xfId="4" applyFont="1" applyBorder="1"/>
    <xf numFmtId="43" fontId="17" fillId="0" borderId="3" xfId="4" applyFont="1" applyBorder="1"/>
    <xf numFmtId="10" fontId="17" fillId="0" borderId="3" xfId="2" applyNumberFormat="1" applyFont="1" applyBorder="1"/>
    <xf numFmtId="10" fontId="17" fillId="0" borderId="3" xfId="5" applyNumberFormat="1" applyFont="1" applyBorder="1"/>
    <xf numFmtId="0" fontId="14" fillId="0" borderId="3" xfId="2" applyFont="1" applyBorder="1" applyAlignment="1">
      <alignment horizontal="center"/>
    </xf>
    <xf numFmtId="43" fontId="0" fillId="0" borderId="3" xfId="4" applyFont="1" applyBorder="1"/>
    <xf numFmtId="43" fontId="0" fillId="5" borderId="3" xfId="4" applyFont="1" applyFill="1" applyBorder="1"/>
    <xf numFmtId="0" fontId="3" fillId="5" borderId="3" xfId="2" applyFill="1" applyBorder="1"/>
    <xf numFmtId="43" fontId="17" fillId="5" borderId="3" xfId="4" applyFont="1" applyFill="1" applyBorder="1"/>
    <xf numFmtId="1" fontId="19" fillId="0" borderId="3" xfId="2" applyNumberFormat="1" applyFont="1" applyBorder="1" applyAlignment="1">
      <alignment horizontal="center" vertical="center"/>
    </xf>
    <xf numFmtId="49" fontId="20" fillId="0" borderId="3" xfId="2" applyNumberFormat="1" applyFont="1" applyBorder="1"/>
    <xf numFmtId="0" fontId="17" fillId="5" borderId="3" xfId="2" applyFont="1" applyFill="1" applyBorder="1"/>
    <xf numFmtId="43" fontId="21" fillId="0" borderId="3" xfId="4" applyFont="1" applyBorder="1"/>
    <xf numFmtId="0" fontId="22" fillId="0" borderId="0" xfId="2" applyFont="1" applyAlignment="1">
      <alignment vertical="center"/>
    </xf>
    <xf numFmtId="0" fontId="19" fillId="0" borderId="3" xfId="2" applyFont="1" applyBorder="1"/>
    <xf numFmtId="49" fontId="16" fillId="4" borderId="3" xfId="2" applyNumberFormat="1" applyFont="1" applyFill="1" applyBorder="1" applyAlignment="1">
      <alignment horizontal="center" vertical="center"/>
    </xf>
    <xf numFmtId="10" fontId="16" fillId="4" borderId="3" xfId="2" applyNumberFormat="1" applyFont="1" applyFill="1" applyBorder="1" applyAlignment="1">
      <alignment horizontal="center"/>
    </xf>
    <xf numFmtId="43" fontId="3" fillId="0" borderId="3" xfId="2" applyNumberFormat="1" applyBorder="1"/>
    <xf numFmtId="0" fontId="10" fillId="0" borderId="3" xfId="1" quotePrefix="1" applyNumberFormat="1" applyFont="1" applyBorder="1" applyAlignment="1" applyProtection="1">
      <alignment horizontal="center" vertical="top"/>
    </xf>
    <xf numFmtId="39" fontId="10" fillId="0" borderId="11" xfId="0" quotePrefix="1" applyFont="1" applyBorder="1" applyAlignment="1">
      <alignment horizontal="center" vertical="center"/>
    </xf>
    <xf numFmtId="39" fontId="10" fillId="0" borderId="10" xfId="0" quotePrefix="1" applyFont="1" applyBorder="1" applyAlignment="1">
      <alignment horizontal="center" vertical="center"/>
    </xf>
    <xf numFmtId="39" fontId="6" fillId="0" borderId="3" xfId="0" applyFont="1" applyBorder="1" applyAlignment="1">
      <alignment horizontal="center" vertical="top"/>
    </xf>
    <xf numFmtId="39" fontId="6" fillId="0" borderId="3" xfId="0" applyFont="1" applyBorder="1" applyAlignment="1">
      <alignment horizontal="left" vertical="top"/>
    </xf>
    <xf numFmtId="165" fontId="6" fillId="0" borderId="3" xfId="0" applyNumberFormat="1" applyFont="1" applyBorder="1" applyAlignment="1">
      <alignment horizontal="center" vertical="top"/>
    </xf>
    <xf numFmtId="39" fontId="19" fillId="0" borderId="3" xfId="2" applyNumberFormat="1" applyFont="1" applyBorder="1"/>
    <xf numFmtId="10" fontId="16" fillId="0" borderId="3" xfId="5" applyNumberFormat="1" applyFont="1" applyBorder="1"/>
    <xf numFmtId="1" fontId="19" fillId="0" borderId="3" xfId="2" quotePrefix="1" applyNumberFormat="1" applyFont="1" applyBorder="1" applyAlignment="1">
      <alignment horizontal="center"/>
    </xf>
    <xf numFmtId="1" fontId="19" fillId="0" borderId="3" xfId="2" quotePrefix="1" applyNumberFormat="1" applyFont="1" applyBorder="1" applyAlignment="1">
      <alignment horizontal="center" vertical="center"/>
    </xf>
    <xf numFmtId="166" fontId="6" fillId="0" borderId="3" xfId="0" applyNumberFormat="1" applyFont="1" applyBorder="1" applyAlignment="1">
      <alignment horizontal="center" vertical="top"/>
    </xf>
    <xf numFmtId="39" fontId="6" fillId="0" borderId="3" xfId="0" applyFont="1" applyBorder="1" applyAlignment="1">
      <alignment vertical="center"/>
    </xf>
    <xf numFmtId="39" fontId="6" fillId="6" borderId="3" xfId="0" applyFont="1" applyFill="1" applyBorder="1" applyAlignment="1">
      <alignment vertical="top"/>
    </xf>
    <xf numFmtId="39" fontId="6" fillId="6" borderId="3" xfId="0" applyFont="1" applyFill="1" applyBorder="1" applyAlignment="1">
      <alignment horizontal="center" vertical="top"/>
    </xf>
    <xf numFmtId="0" fontId="11" fillId="6" borderId="3" xfId="0" applyNumberFormat="1" applyFont="1" applyFill="1" applyBorder="1" applyAlignment="1">
      <alignment vertical="top" wrapText="1"/>
    </xf>
    <xf numFmtId="4" fontId="11" fillId="6" borderId="3" xfId="0" applyNumberFormat="1" applyFont="1" applyFill="1" applyBorder="1" applyAlignment="1">
      <alignment horizontal="center" wrapText="1"/>
    </xf>
    <xf numFmtId="4" fontId="11" fillId="6" borderId="3" xfId="0" applyNumberFormat="1" applyFont="1" applyFill="1" applyBorder="1" applyAlignment="1">
      <alignment wrapText="1"/>
    </xf>
    <xf numFmtId="4" fontId="6" fillId="6" borderId="3" xfId="0" applyNumberFormat="1" applyFont="1" applyFill="1" applyBorder="1" applyProtection="1">
      <protection locked="0"/>
    </xf>
    <xf numFmtId="4" fontId="6" fillId="6" borderId="3" xfId="0" applyNumberFormat="1" applyFont="1" applyFill="1" applyBorder="1"/>
    <xf numFmtId="166" fontId="6" fillId="6" borderId="3" xfId="0" applyNumberFormat="1" applyFont="1" applyFill="1" applyBorder="1" applyAlignment="1">
      <alignment horizontal="center" vertical="top"/>
    </xf>
    <xf numFmtId="43" fontId="16" fillId="0" borderId="3" xfId="4" applyFont="1" applyBorder="1"/>
    <xf numFmtId="39" fontId="8" fillId="0" borderId="4" xfId="0" quotePrefix="1" applyFont="1" applyBorder="1" applyAlignment="1">
      <alignment horizontal="center"/>
    </xf>
    <xf numFmtId="39" fontId="8" fillId="0" borderId="1" xfId="0" quotePrefix="1" applyFont="1" applyBorder="1" applyAlignment="1">
      <alignment horizontal="center"/>
    </xf>
    <xf numFmtId="39" fontId="8" fillId="0" borderId="5" xfId="0" quotePrefix="1" applyFont="1" applyBorder="1" applyAlignment="1">
      <alignment horizontal="center"/>
    </xf>
    <xf numFmtId="39" fontId="10" fillId="0" borderId="3" xfId="0" quotePrefix="1" applyFont="1" applyBorder="1" applyAlignment="1">
      <alignment horizontal="center" vertical="center"/>
    </xf>
    <xf numFmtId="39" fontId="10" fillId="0" borderId="3" xfId="0" quotePrefix="1" applyFont="1" applyBorder="1" applyAlignment="1">
      <alignment horizontal="left" vertical="center"/>
    </xf>
    <xf numFmtId="39" fontId="10" fillId="0" borderId="3" xfId="0" applyFont="1" applyBorder="1" applyAlignment="1">
      <alignment horizontal="center" vertical="center"/>
    </xf>
    <xf numFmtId="39" fontId="5" fillId="0" borderId="6" xfId="0" applyFont="1" applyBorder="1" applyAlignment="1">
      <alignment horizontal="center" vertical="center"/>
    </xf>
    <xf numFmtId="39" fontId="5" fillId="0" borderId="0" xfId="0" applyFont="1" applyAlignment="1">
      <alignment horizontal="center" vertical="center"/>
    </xf>
    <xf numFmtId="39" fontId="5" fillId="0" borderId="7" xfId="0" applyFont="1" applyBorder="1" applyAlignment="1">
      <alignment horizontal="center" vertical="center"/>
    </xf>
    <xf numFmtId="39" fontId="6" fillId="0" borderId="6" xfId="0" quotePrefix="1" applyFont="1" applyBorder="1" applyAlignment="1">
      <alignment horizontal="center"/>
    </xf>
    <xf numFmtId="39" fontId="6" fillId="0" borderId="0" xfId="0" quotePrefix="1" applyFont="1" applyAlignment="1">
      <alignment horizontal="center"/>
    </xf>
    <xf numFmtId="39" fontId="6" fillId="0" borderId="7" xfId="0" quotePrefix="1" applyFont="1" applyBorder="1" applyAlignment="1">
      <alignment horizontal="center"/>
    </xf>
    <xf numFmtId="39" fontId="7" fillId="0" borderId="6" xfId="0" applyFont="1" applyBorder="1" applyAlignment="1">
      <alignment horizontal="center"/>
    </xf>
    <xf numFmtId="39" fontId="7" fillId="0" borderId="0" xfId="0" applyFont="1" applyAlignment="1">
      <alignment horizontal="center"/>
    </xf>
    <xf numFmtId="39" fontId="7" fillId="0" borderId="7" xfId="0" applyFont="1" applyBorder="1" applyAlignment="1">
      <alignment horizontal="center"/>
    </xf>
    <xf numFmtId="39" fontId="8" fillId="0" borderId="0" xfId="0" quotePrefix="1" applyFont="1" applyAlignment="1">
      <alignment horizontal="center"/>
    </xf>
    <xf numFmtId="39" fontId="9" fillId="0" borderId="0" xfId="0" applyFont="1" applyAlignment="1">
      <alignment horizontal="center"/>
    </xf>
    <xf numFmtId="49" fontId="16" fillId="4" borderId="3" xfId="2" applyNumberFormat="1" applyFont="1" applyFill="1" applyBorder="1" applyAlignment="1">
      <alignment horizontal="center"/>
    </xf>
    <xf numFmtId="39" fontId="0" fillId="0" borderId="0" xfId="0"/>
    <xf numFmtId="49" fontId="18" fillId="0" borderId="0" xfId="2" applyNumberFormat="1" applyFont="1" applyAlignment="1">
      <alignment horizontal="center" vertical="center" wrapText="1"/>
    </xf>
    <xf numFmtId="39" fontId="0" fillId="0" borderId="0" xfId="0" applyAlignment="1">
      <alignment horizontal="center" vertical="center" wrapText="1"/>
    </xf>
    <xf numFmtId="49" fontId="16" fillId="4" borderId="3" xfId="2" applyNumberFormat="1" applyFont="1" applyFill="1" applyBorder="1" applyAlignment="1">
      <alignment horizontal="center" vertical="center"/>
    </xf>
    <xf numFmtId="49" fontId="16" fillId="4" borderId="12" xfId="2" applyNumberFormat="1" applyFont="1" applyFill="1" applyBorder="1" applyAlignment="1">
      <alignment horizontal="center"/>
    </xf>
    <xf numFmtId="49" fontId="16" fillId="4" borderId="13" xfId="2" applyNumberFormat="1" applyFont="1" applyFill="1" applyBorder="1" applyAlignment="1">
      <alignment horizontal="center"/>
    </xf>
    <xf numFmtId="39" fontId="23" fillId="0" borderId="0" xfId="2" applyNumberFormat="1" applyFont="1" applyAlignment="1">
      <alignment horizontal="center"/>
    </xf>
    <xf numFmtId="0" fontId="23" fillId="0" borderId="0" xfId="2" applyFont="1" applyAlignment="1">
      <alignment horizontal="center"/>
    </xf>
  </cellXfs>
  <cellStyles count="6">
    <cellStyle name="Moeda" xfId="3" builtinId="4"/>
    <cellStyle name="Normal" xfId="0" builtinId="0"/>
    <cellStyle name="Normal 2" xfId="2" xr:uid="{00000000-0005-0000-0000-000002000000}"/>
    <cellStyle name="Porcentagem" xfId="5" builtinId="5"/>
    <cellStyle name="Vírgula" xfId="1" builtinId="3"/>
    <cellStyle name="Vírgula 3" xfId="4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285750</xdr:rowOff>
    </xdr:from>
    <xdr:to>
      <xdr:col>2</xdr:col>
      <xdr:colOff>409575</xdr:colOff>
      <xdr:row>2</xdr:row>
      <xdr:rowOff>180975</xdr:rowOff>
    </xdr:to>
    <xdr:pic>
      <xdr:nvPicPr>
        <xdr:cNvPr id="4" name="Imagem 3" descr="0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285750"/>
          <a:ext cx="1781175" cy="39052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971550</xdr:colOff>
      <xdr:row>0</xdr:row>
      <xdr:rowOff>36911</xdr:rowOff>
    </xdr:from>
    <xdr:to>
      <xdr:col>6</xdr:col>
      <xdr:colOff>996023</xdr:colOff>
      <xdr:row>4</xdr:row>
      <xdr:rowOff>123825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29975" y="36911"/>
          <a:ext cx="1157948" cy="9822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51</xdr:col>
      <xdr:colOff>0</xdr:colOff>
      <xdr:row>0</xdr:row>
      <xdr:rowOff>57149</xdr:rowOff>
    </xdr:from>
    <xdr:to>
      <xdr:col>53</xdr:col>
      <xdr:colOff>63260</xdr:colOff>
      <xdr:row>5</xdr:row>
      <xdr:rowOff>85724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82450" y="57149"/>
          <a:ext cx="1358660" cy="1152525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0</xdr:row>
      <xdr:rowOff>209550</xdr:rowOff>
    </xdr:from>
    <xdr:to>
      <xdr:col>1</xdr:col>
      <xdr:colOff>1457325</xdr:colOff>
      <xdr:row>3</xdr:row>
      <xdr:rowOff>48895</xdr:rowOff>
    </xdr:to>
    <xdr:pic>
      <xdr:nvPicPr>
        <xdr:cNvPr id="3" name="Imagem 2" descr="0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09550"/>
          <a:ext cx="2057400" cy="56324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.75" x14ac:dyDescent="0.25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.7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.75" x14ac:dyDescent="0.25"/>
  <sheetData/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transitionEvaluation="1" transitionEntry="1" codeName="Plan5"/>
  <dimension ref="A1:G148"/>
  <sheetViews>
    <sheetView showGridLines="0" view="pageBreakPreview" zoomScaleNormal="85" zoomScaleSheetLayoutView="100" workbookViewId="0">
      <pane xSplit="5" ySplit="9" topLeftCell="F10" activePane="bottomRight" state="frozen"/>
      <selection pane="topRight" activeCell="F1" sqref="F1"/>
      <selection pane="bottomLeft" activeCell="A8" sqref="A8"/>
      <selection pane="bottomRight" activeCell="I10" sqref="I10"/>
    </sheetView>
  </sheetViews>
  <sheetFormatPr defaultRowHeight="15.75" x14ac:dyDescent="0.25"/>
  <cols>
    <col min="1" max="1" width="10.25" bestFit="1" customWidth="1"/>
    <col min="2" max="2" width="9" bestFit="1" customWidth="1"/>
    <col min="3" max="3" width="58.25" customWidth="1"/>
    <col min="4" max="4" width="6.25" bestFit="1" customWidth="1"/>
    <col min="5" max="7" width="14.875" customWidth="1"/>
    <col min="9" max="9" width="12.375" bestFit="1" customWidth="1"/>
  </cols>
  <sheetData>
    <row r="1" spans="1:7" ht="23.25" x14ac:dyDescent="0.35">
      <c r="A1" s="86" t="s">
        <v>25</v>
      </c>
      <c r="B1" s="87"/>
      <c r="C1" s="87"/>
      <c r="D1" s="87"/>
      <c r="E1" s="87"/>
      <c r="F1" s="87"/>
      <c r="G1" s="88"/>
    </row>
    <row r="2" spans="1:7" x14ac:dyDescent="0.25">
      <c r="A2" s="98" t="s">
        <v>125</v>
      </c>
      <c r="B2" s="99"/>
      <c r="C2" s="99"/>
      <c r="D2" s="99"/>
      <c r="E2" s="99"/>
      <c r="F2" s="99"/>
      <c r="G2" s="100"/>
    </row>
    <row r="3" spans="1:7" x14ac:dyDescent="0.25">
      <c r="A3" s="1"/>
      <c r="G3" s="2"/>
    </row>
    <row r="4" spans="1:7" x14ac:dyDescent="0.25">
      <c r="A4" s="92" t="s">
        <v>126</v>
      </c>
      <c r="B4" s="93"/>
      <c r="C4" s="93"/>
      <c r="D4" s="93"/>
      <c r="E4" s="93"/>
      <c r="F4" s="93"/>
      <c r="G4" s="94"/>
    </row>
    <row r="5" spans="1:7" x14ac:dyDescent="0.25">
      <c r="A5" s="92" t="s">
        <v>127</v>
      </c>
      <c r="B5" s="93"/>
      <c r="C5" s="93"/>
      <c r="D5" s="93"/>
      <c r="E5" s="93"/>
      <c r="F5" s="93"/>
      <c r="G5" s="94"/>
    </row>
    <row r="6" spans="1:7" x14ac:dyDescent="0.25">
      <c r="A6" s="95" t="s">
        <v>124</v>
      </c>
      <c r="B6" s="96"/>
      <c r="C6" s="96"/>
      <c r="D6" s="96"/>
      <c r="E6" s="96"/>
      <c r="F6" s="96"/>
      <c r="G6" s="97"/>
    </row>
    <row r="7" spans="1:7" x14ac:dyDescent="0.25">
      <c r="A7" s="3"/>
      <c r="B7" s="4"/>
      <c r="C7" s="32"/>
      <c r="D7" s="32"/>
      <c r="E7" s="32"/>
      <c r="F7" s="33"/>
      <c r="G7" s="34" t="s">
        <v>224</v>
      </c>
    </row>
    <row r="8" spans="1:7" x14ac:dyDescent="0.25">
      <c r="A8" s="90" t="s">
        <v>9</v>
      </c>
      <c r="B8" s="89" t="s">
        <v>3</v>
      </c>
      <c r="C8" s="89" t="s">
        <v>4</v>
      </c>
      <c r="D8" s="91" t="s">
        <v>0</v>
      </c>
      <c r="E8" s="66" t="s">
        <v>5</v>
      </c>
      <c r="F8" s="35" t="s">
        <v>1</v>
      </c>
      <c r="G8" s="35" t="s">
        <v>2</v>
      </c>
    </row>
    <row r="9" spans="1:7" x14ac:dyDescent="0.25">
      <c r="A9" s="90"/>
      <c r="B9" s="89"/>
      <c r="C9" s="89"/>
      <c r="D9" s="91"/>
      <c r="E9" s="67" t="s">
        <v>6</v>
      </c>
      <c r="F9" s="36" t="s">
        <v>30</v>
      </c>
      <c r="G9" s="36" t="s">
        <v>30</v>
      </c>
    </row>
    <row r="10" spans="1:7" x14ac:dyDescent="0.25">
      <c r="A10" s="5"/>
      <c r="B10" s="65">
        <v>1</v>
      </c>
      <c r="C10" s="7" t="s">
        <v>12</v>
      </c>
      <c r="D10" s="5"/>
      <c r="E10" s="8"/>
      <c r="F10" s="8"/>
      <c r="G10" s="8"/>
    </row>
    <row r="11" spans="1:7" ht="24" x14ac:dyDescent="0.25">
      <c r="A11" s="69" t="s">
        <v>13</v>
      </c>
      <c r="B11" s="68" t="s">
        <v>113</v>
      </c>
      <c r="C11" s="10" t="s">
        <v>144</v>
      </c>
      <c r="D11" s="11" t="s">
        <v>145</v>
      </c>
      <c r="E11" s="13">
        <v>1192.8</v>
      </c>
      <c r="F11" s="12">
        <v>1</v>
      </c>
      <c r="G11" s="8">
        <f t="shared" ref="G11:G14" si="0">TRUNC(E11*F11,2)</f>
        <v>1192.8</v>
      </c>
    </row>
    <row r="12" spans="1:7" ht="24" x14ac:dyDescent="0.25">
      <c r="A12" s="69" t="s">
        <v>13</v>
      </c>
      <c r="B12" s="68" t="s">
        <v>114</v>
      </c>
      <c r="C12" s="10" t="s">
        <v>146</v>
      </c>
      <c r="D12" s="11" t="s">
        <v>147</v>
      </c>
      <c r="E12" s="13">
        <v>0.84</v>
      </c>
      <c r="F12" s="12">
        <v>16000</v>
      </c>
      <c r="G12" s="8">
        <f t="shared" si="0"/>
        <v>13440</v>
      </c>
    </row>
    <row r="13" spans="1:7" ht="24" x14ac:dyDescent="0.25">
      <c r="A13" s="69" t="s">
        <v>13</v>
      </c>
      <c r="B13" s="68" t="s">
        <v>115</v>
      </c>
      <c r="C13" s="10" t="s">
        <v>148</v>
      </c>
      <c r="D13" s="11" t="s">
        <v>145</v>
      </c>
      <c r="E13" s="13">
        <v>1266.23</v>
      </c>
      <c r="F13" s="12">
        <v>1</v>
      </c>
      <c r="G13" s="8">
        <f t="shared" si="0"/>
        <v>1266.23</v>
      </c>
    </row>
    <row r="14" spans="1:7" x14ac:dyDescent="0.25">
      <c r="A14" s="69" t="s">
        <v>13</v>
      </c>
      <c r="B14" s="68" t="s">
        <v>116</v>
      </c>
      <c r="C14" s="10" t="s">
        <v>149</v>
      </c>
      <c r="D14" s="11" t="s">
        <v>80</v>
      </c>
      <c r="E14" s="13">
        <v>89.86</v>
      </c>
      <c r="F14" s="12">
        <f>8*15</f>
        <v>120</v>
      </c>
      <c r="G14" s="8">
        <f t="shared" si="0"/>
        <v>10783.2</v>
      </c>
    </row>
    <row r="15" spans="1:7" x14ac:dyDescent="0.25">
      <c r="A15" s="69" t="s">
        <v>13</v>
      </c>
      <c r="B15" s="68" t="s">
        <v>19</v>
      </c>
      <c r="C15" s="10" t="s">
        <v>150</v>
      </c>
      <c r="D15" s="11" t="s">
        <v>151</v>
      </c>
      <c r="E15" s="13">
        <v>899.28</v>
      </c>
      <c r="F15" s="12">
        <v>8</v>
      </c>
      <c r="G15" s="8">
        <f>TRUNC(E15*F15,2)</f>
        <v>7194.24</v>
      </c>
    </row>
    <row r="16" spans="1:7" ht="24" x14ac:dyDescent="0.25">
      <c r="A16" s="69" t="s">
        <v>13</v>
      </c>
      <c r="B16" s="68" t="s">
        <v>20</v>
      </c>
      <c r="C16" s="10" t="s">
        <v>152</v>
      </c>
      <c r="D16" s="11" t="s">
        <v>151</v>
      </c>
      <c r="E16" s="13">
        <v>1498.94</v>
      </c>
      <c r="F16" s="12">
        <v>8</v>
      </c>
      <c r="G16" s="8">
        <f t="shared" ref="G16:G20" si="1">TRUNC(E16*F16,2)</f>
        <v>11991.52</v>
      </c>
    </row>
    <row r="17" spans="1:7" ht="24" x14ac:dyDescent="0.25">
      <c r="A17" s="69" t="s">
        <v>13</v>
      </c>
      <c r="B17" s="68" t="s">
        <v>21</v>
      </c>
      <c r="C17" s="10" t="s">
        <v>153</v>
      </c>
      <c r="D17" s="11" t="s">
        <v>151</v>
      </c>
      <c r="E17" s="13">
        <v>1356.53</v>
      </c>
      <c r="F17" s="12">
        <v>8</v>
      </c>
      <c r="G17" s="8">
        <f t="shared" si="1"/>
        <v>10852.24</v>
      </c>
    </row>
    <row r="18" spans="1:7" x14ac:dyDescent="0.25">
      <c r="A18" s="69" t="s">
        <v>13</v>
      </c>
      <c r="B18" s="68" t="s">
        <v>22</v>
      </c>
      <c r="C18" s="10" t="s">
        <v>154</v>
      </c>
      <c r="D18" s="11" t="s">
        <v>151</v>
      </c>
      <c r="E18" s="13">
        <v>907.29</v>
      </c>
      <c r="F18" s="12">
        <v>8</v>
      </c>
      <c r="G18" s="8">
        <f t="shared" si="1"/>
        <v>7258.32</v>
      </c>
    </row>
    <row r="19" spans="1:7" x14ac:dyDescent="0.25">
      <c r="A19" s="69" t="s">
        <v>13</v>
      </c>
      <c r="B19" s="68" t="s">
        <v>23</v>
      </c>
      <c r="C19" s="10" t="s">
        <v>155</v>
      </c>
      <c r="D19" s="11" t="s">
        <v>151</v>
      </c>
      <c r="E19" s="13">
        <v>906.55</v>
      </c>
      <c r="F19" s="12">
        <v>8</v>
      </c>
      <c r="G19" s="8">
        <f t="shared" si="1"/>
        <v>7252.4</v>
      </c>
    </row>
    <row r="20" spans="1:7" x14ac:dyDescent="0.25">
      <c r="A20" s="69" t="s">
        <v>13</v>
      </c>
      <c r="B20" s="68" t="s">
        <v>24</v>
      </c>
      <c r="C20" s="10" t="s">
        <v>156</v>
      </c>
      <c r="D20" s="11" t="s">
        <v>147</v>
      </c>
      <c r="E20" s="13">
        <v>947.16</v>
      </c>
      <c r="F20" s="12">
        <v>24</v>
      </c>
      <c r="G20" s="8">
        <f t="shared" si="1"/>
        <v>22731.84</v>
      </c>
    </row>
    <row r="21" spans="1:7" x14ac:dyDescent="0.25">
      <c r="A21" s="69" t="s">
        <v>13</v>
      </c>
      <c r="B21" s="68" t="s">
        <v>44</v>
      </c>
      <c r="C21" s="10" t="s">
        <v>157</v>
      </c>
      <c r="D21" s="11" t="s">
        <v>80</v>
      </c>
      <c r="E21" s="13">
        <v>1.47</v>
      </c>
      <c r="F21" s="12">
        <v>550</v>
      </c>
      <c r="G21" s="8">
        <f t="shared" ref="G21:G22" si="2">TRUNC(E21*F21,2)</f>
        <v>808.5</v>
      </c>
    </row>
    <row r="22" spans="1:7" x14ac:dyDescent="0.25">
      <c r="A22" s="69" t="s">
        <v>13</v>
      </c>
      <c r="B22" s="68" t="s">
        <v>45</v>
      </c>
      <c r="C22" s="10" t="s">
        <v>158</v>
      </c>
      <c r="D22" s="11" t="s">
        <v>147</v>
      </c>
      <c r="E22" s="13">
        <v>1.82</v>
      </c>
      <c r="F22" s="12">
        <f>550*10</f>
        <v>5500</v>
      </c>
      <c r="G22" s="8">
        <f t="shared" si="2"/>
        <v>10010</v>
      </c>
    </row>
    <row r="23" spans="1:7" x14ac:dyDescent="0.25">
      <c r="A23" s="25"/>
      <c r="B23" s="25"/>
      <c r="C23" s="26" t="s">
        <v>26</v>
      </c>
      <c r="D23" s="27"/>
      <c r="E23" s="29"/>
      <c r="F23" s="28"/>
      <c r="G23" s="30">
        <f>SUM(G11:G22)</f>
        <v>104781.29</v>
      </c>
    </row>
    <row r="24" spans="1:7" x14ac:dyDescent="0.25">
      <c r="A24" s="5"/>
      <c r="B24" s="6" t="s">
        <v>7</v>
      </c>
      <c r="C24" s="14" t="s">
        <v>18</v>
      </c>
      <c r="D24" s="15"/>
      <c r="E24" s="16"/>
      <c r="F24" s="8"/>
      <c r="G24" s="8"/>
    </row>
    <row r="25" spans="1:7" x14ac:dyDescent="0.25">
      <c r="A25" s="9"/>
      <c r="B25" s="6" t="s">
        <v>27</v>
      </c>
      <c r="C25" s="14" t="s">
        <v>47</v>
      </c>
      <c r="D25" s="11"/>
      <c r="E25" s="13"/>
      <c r="F25" s="12"/>
      <c r="G25" s="8"/>
    </row>
    <row r="26" spans="1:7" x14ac:dyDescent="0.25">
      <c r="A26" s="9" t="s">
        <v>13</v>
      </c>
      <c r="B26" s="68" t="s">
        <v>49</v>
      </c>
      <c r="C26" s="10" t="s">
        <v>159</v>
      </c>
      <c r="D26" s="11" t="s">
        <v>119</v>
      </c>
      <c r="E26" s="13">
        <v>21.25</v>
      </c>
      <c r="F26" s="12">
        <v>813.38</v>
      </c>
      <c r="G26" s="8">
        <f t="shared" ref="G26" si="3">TRUNC(E26*F26,2)</f>
        <v>17284.32</v>
      </c>
    </row>
    <row r="27" spans="1:7" x14ac:dyDescent="0.25">
      <c r="A27" s="9" t="s">
        <v>13</v>
      </c>
      <c r="B27" s="68" t="s">
        <v>50</v>
      </c>
      <c r="C27" s="10" t="s">
        <v>160</v>
      </c>
      <c r="D27" s="11" t="s">
        <v>119</v>
      </c>
      <c r="E27" s="13">
        <v>7.24</v>
      </c>
      <c r="F27" s="12">
        <v>637.23</v>
      </c>
      <c r="G27" s="8">
        <f t="shared" ref="G27:G33" si="4">TRUNC(E27*F27,2)</f>
        <v>4613.54</v>
      </c>
    </row>
    <row r="28" spans="1:7" x14ac:dyDescent="0.25">
      <c r="A28" s="9" t="s">
        <v>13</v>
      </c>
      <c r="B28" s="68" t="s">
        <v>15</v>
      </c>
      <c r="C28" s="10" t="s">
        <v>161</v>
      </c>
      <c r="D28" s="11" t="s">
        <v>119</v>
      </c>
      <c r="E28" s="13">
        <v>16.2</v>
      </c>
      <c r="F28" s="12">
        <v>176.15</v>
      </c>
      <c r="G28" s="8">
        <f t="shared" si="4"/>
        <v>2853.63</v>
      </c>
    </row>
    <row r="29" spans="1:7" ht="24" x14ac:dyDescent="0.25">
      <c r="A29" s="9" t="s">
        <v>13</v>
      </c>
      <c r="B29" s="68" t="s">
        <v>14</v>
      </c>
      <c r="C29" s="10" t="s">
        <v>162</v>
      </c>
      <c r="D29" s="11" t="s">
        <v>119</v>
      </c>
      <c r="E29" s="13">
        <v>19.09</v>
      </c>
      <c r="F29" s="12">
        <f>F28</f>
        <v>176.15</v>
      </c>
      <c r="G29" s="8">
        <f t="shared" ref="G29:G30" si="5">TRUNC(E29*F29,2)</f>
        <v>3362.7</v>
      </c>
    </row>
    <row r="30" spans="1:7" ht="24" x14ac:dyDescent="0.25">
      <c r="A30" s="9" t="s">
        <v>13</v>
      </c>
      <c r="B30" s="68" t="s">
        <v>43</v>
      </c>
      <c r="C30" s="10" t="s">
        <v>163</v>
      </c>
      <c r="D30" s="11" t="s">
        <v>119</v>
      </c>
      <c r="E30" s="13">
        <v>28.6</v>
      </c>
      <c r="F30" s="12">
        <f>F28</f>
        <v>176.15</v>
      </c>
      <c r="G30" s="8">
        <f t="shared" si="5"/>
        <v>5037.8900000000003</v>
      </c>
    </row>
    <row r="31" spans="1:7" ht="24" x14ac:dyDescent="0.25">
      <c r="A31" s="9" t="s">
        <v>13</v>
      </c>
      <c r="B31" s="68" t="s">
        <v>87</v>
      </c>
      <c r="C31" s="10" t="s">
        <v>164</v>
      </c>
      <c r="D31" s="11" t="s">
        <v>165</v>
      </c>
      <c r="E31" s="13">
        <v>1.84</v>
      </c>
      <c r="F31" s="12">
        <f>F29*18</f>
        <v>3170.7000000000003</v>
      </c>
      <c r="G31" s="8">
        <f t="shared" ref="G31" si="6">TRUNC(E31*F31,2)</f>
        <v>5834.08</v>
      </c>
    </row>
    <row r="32" spans="1:7" x14ac:dyDescent="0.25">
      <c r="A32" s="9" t="s">
        <v>13</v>
      </c>
      <c r="B32" s="68" t="s">
        <v>51</v>
      </c>
      <c r="C32" s="10" t="s">
        <v>166</v>
      </c>
      <c r="D32" s="11" t="s">
        <v>119</v>
      </c>
      <c r="E32" s="13">
        <v>30.27</v>
      </c>
      <c r="F32" s="12">
        <f>F28</f>
        <v>176.15</v>
      </c>
      <c r="G32" s="8">
        <f t="shared" si="4"/>
        <v>5332.06</v>
      </c>
    </row>
    <row r="33" spans="1:7" x14ac:dyDescent="0.25">
      <c r="A33" s="9" t="s">
        <v>13</v>
      </c>
      <c r="B33" s="68" t="s">
        <v>52</v>
      </c>
      <c r="C33" s="10" t="s">
        <v>167</v>
      </c>
      <c r="D33" s="11" t="s">
        <v>147</v>
      </c>
      <c r="E33" s="13">
        <v>57.44</v>
      </c>
      <c r="F33" s="12">
        <v>961.92</v>
      </c>
      <c r="G33" s="8">
        <f t="shared" si="4"/>
        <v>55252.68</v>
      </c>
    </row>
    <row r="34" spans="1:7" x14ac:dyDescent="0.25">
      <c r="A34" s="9" t="s">
        <v>13</v>
      </c>
      <c r="B34" s="68" t="s">
        <v>53</v>
      </c>
      <c r="C34" s="10" t="s">
        <v>168</v>
      </c>
      <c r="D34" s="11" t="s">
        <v>119</v>
      </c>
      <c r="E34" s="13">
        <v>211.23</v>
      </c>
      <c r="F34" s="12">
        <v>38.01</v>
      </c>
      <c r="G34" s="8">
        <f t="shared" ref="G34:G43" si="7">TRUNC(E34*F34,2)</f>
        <v>8028.85</v>
      </c>
    </row>
    <row r="35" spans="1:7" x14ac:dyDescent="0.25">
      <c r="A35" s="9" t="s">
        <v>13</v>
      </c>
      <c r="B35" s="68" t="s">
        <v>60</v>
      </c>
      <c r="C35" s="10" t="s">
        <v>169</v>
      </c>
      <c r="D35" s="11" t="s">
        <v>80</v>
      </c>
      <c r="E35" s="13">
        <v>170.82</v>
      </c>
      <c r="F35" s="12">
        <v>97</v>
      </c>
      <c r="G35" s="8">
        <f t="shared" si="7"/>
        <v>16569.54</v>
      </c>
    </row>
    <row r="36" spans="1:7" x14ac:dyDescent="0.25">
      <c r="A36" s="9" t="s">
        <v>13</v>
      </c>
      <c r="B36" s="68" t="s">
        <v>63</v>
      </c>
      <c r="C36" s="10" t="s">
        <v>170</v>
      </c>
      <c r="D36" s="11" t="s">
        <v>80</v>
      </c>
      <c r="E36" s="13">
        <v>356.15</v>
      </c>
      <c r="F36" s="12">
        <v>37</v>
      </c>
      <c r="G36" s="8">
        <f t="shared" ref="G36" si="8">TRUNC(E36*F36,2)</f>
        <v>13177.55</v>
      </c>
    </row>
    <row r="37" spans="1:7" x14ac:dyDescent="0.25">
      <c r="A37" s="9" t="s">
        <v>13</v>
      </c>
      <c r="B37" s="68" t="s">
        <v>61</v>
      </c>
      <c r="C37" s="10" t="s">
        <v>171</v>
      </c>
      <c r="D37" s="11" t="s">
        <v>80</v>
      </c>
      <c r="E37" s="13">
        <v>509.47</v>
      </c>
      <c r="F37" s="12">
        <v>22</v>
      </c>
      <c r="G37" s="8">
        <f t="shared" ref="G37:G38" si="9">TRUNC(E37*F37,2)</f>
        <v>11208.34</v>
      </c>
    </row>
    <row r="38" spans="1:7" x14ac:dyDescent="0.25">
      <c r="A38" s="9" t="s">
        <v>13</v>
      </c>
      <c r="B38" s="68" t="s">
        <v>62</v>
      </c>
      <c r="C38" s="10" t="s">
        <v>172</v>
      </c>
      <c r="D38" s="11" t="s">
        <v>80</v>
      </c>
      <c r="E38" s="13">
        <v>840.74</v>
      </c>
      <c r="F38" s="12">
        <v>62</v>
      </c>
      <c r="G38" s="8">
        <f t="shared" si="9"/>
        <v>52125.88</v>
      </c>
    </row>
    <row r="39" spans="1:7" x14ac:dyDescent="0.25">
      <c r="A39" s="9" t="s">
        <v>13</v>
      </c>
      <c r="B39" s="68" t="s">
        <v>54</v>
      </c>
      <c r="C39" s="10" t="s">
        <v>173</v>
      </c>
      <c r="D39" s="11" t="s">
        <v>0</v>
      </c>
      <c r="E39" s="13">
        <v>5007.4399999999996</v>
      </c>
      <c r="F39" s="12">
        <v>7</v>
      </c>
      <c r="G39" s="8">
        <f t="shared" si="7"/>
        <v>35052.080000000002</v>
      </c>
    </row>
    <row r="40" spans="1:7" x14ac:dyDescent="0.25">
      <c r="A40" s="9" t="s">
        <v>13</v>
      </c>
      <c r="B40" s="68" t="s">
        <v>65</v>
      </c>
      <c r="C40" s="10" t="s">
        <v>174</v>
      </c>
      <c r="D40" s="11" t="s">
        <v>0</v>
      </c>
      <c r="E40" s="13">
        <v>6688.82</v>
      </c>
      <c r="F40" s="12">
        <v>3</v>
      </c>
      <c r="G40" s="8">
        <f t="shared" ref="G40" si="10">TRUNC(E40*F40,2)</f>
        <v>20066.46</v>
      </c>
    </row>
    <row r="41" spans="1:7" ht="24" x14ac:dyDescent="0.25">
      <c r="A41" s="9" t="s">
        <v>13</v>
      </c>
      <c r="B41" s="68" t="s">
        <v>55</v>
      </c>
      <c r="C41" s="10" t="s">
        <v>175</v>
      </c>
      <c r="D41" s="11" t="s">
        <v>80</v>
      </c>
      <c r="E41" s="13">
        <v>712.89</v>
      </c>
      <c r="F41" s="12">
        <v>9.3800000000000008</v>
      </c>
      <c r="G41" s="8">
        <f t="shared" si="7"/>
        <v>6686.9</v>
      </c>
    </row>
    <row r="42" spans="1:7" x14ac:dyDescent="0.25">
      <c r="A42" s="9" t="s">
        <v>13</v>
      </c>
      <c r="B42" s="68" t="s">
        <v>56</v>
      </c>
      <c r="C42" s="10" t="s">
        <v>176</v>
      </c>
      <c r="D42" s="11" t="s">
        <v>0</v>
      </c>
      <c r="E42" s="13">
        <v>588.39</v>
      </c>
      <c r="F42" s="12">
        <v>10</v>
      </c>
      <c r="G42" s="8">
        <f t="shared" si="7"/>
        <v>5883.9</v>
      </c>
    </row>
    <row r="43" spans="1:7" x14ac:dyDescent="0.25">
      <c r="A43" s="9" t="s">
        <v>13</v>
      </c>
      <c r="B43" s="68" t="s">
        <v>57</v>
      </c>
      <c r="C43" s="10" t="s">
        <v>177</v>
      </c>
      <c r="D43" s="11" t="s">
        <v>0</v>
      </c>
      <c r="E43" s="13">
        <v>5833.3</v>
      </c>
      <c r="F43" s="12">
        <v>3</v>
      </c>
      <c r="G43" s="8">
        <f t="shared" si="7"/>
        <v>17499.900000000001</v>
      </c>
    </row>
    <row r="44" spans="1:7" x14ac:dyDescent="0.25">
      <c r="A44" s="9" t="s">
        <v>13</v>
      </c>
      <c r="B44" s="68" t="s">
        <v>64</v>
      </c>
      <c r="C44" s="10" t="s">
        <v>178</v>
      </c>
      <c r="D44" s="11" t="s">
        <v>0</v>
      </c>
      <c r="E44" s="13">
        <v>8021.88</v>
      </c>
      <c r="F44" s="12">
        <v>10</v>
      </c>
      <c r="G44" s="8">
        <f t="shared" ref="G44" si="11">TRUNC(E44*F44,2)</f>
        <v>80218.8</v>
      </c>
    </row>
    <row r="45" spans="1:7" x14ac:dyDescent="0.25">
      <c r="A45" s="9"/>
      <c r="B45" s="68"/>
      <c r="C45" s="10"/>
      <c r="D45" s="11"/>
      <c r="E45" s="13"/>
      <c r="F45" s="12"/>
      <c r="G45" s="8"/>
    </row>
    <row r="46" spans="1:7" x14ac:dyDescent="0.25">
      <c r="A46" s="25"/>
      <c r="B46" s="25"/>
      <c r="C46" s="26" t="s">
        <v>48</v>
      </c>
      <c r="D46" s="27"/>
      <c r="E46" s="29"/>
      <c r="F46" s="28"/>
      <c r="G46" s="30">
        <f>SUM(G24:G45)</f>
        <v>366089.10000000003</v>
      </c>
    </row>
    <row r="47" spans="1:7" x14ac:dyDescent="0.25">
      <c r="A47" s="9"/>
      <c r="B47" s="68"/>
      <c r="C47" s="10"/>
      <c r="D47" s="11"/>
      <c r="E47" s="13"/>
      <c r="F47" s="12"/>
      <c r="G47" s="8"/>
    </row>
    <row r="48" spans="1:7" x14ac:dyDescent="0.25">
      <c r="A48" s="9"/>
      <c r="B48" s="6" t="s">
        <v>46</v>
      </c>
      <c r="C48" s="14" t="s">
        <v>66</v>
      </c>
      <c r="D48" s="11"/>
      <c r="E48" s="13"/>
      <c r="F48" s="12"/>
      <c r="G48" s="8"/>
    </row>
    <row r="49" spans="1:7" x14ac:dyDescent="0.25">
      <c r="A49" s="9" t="s">
        <v>13</v>
      </c>
      <c r="B49" s="68" t="s">
        <v>49</v>
      </c>
      <c r="C49" s="10" t="s">
        <v>159</v>
      </c>
      <c r="D49" s="11" t="s">
        <v>119</v>
      </c>
      <c r="E49" s="13">
        <v>21.25</v>
      </c>
      <c r="F49" s="12">
        <v>5829.42</v>
      </c>
      <c r="G49" s="8">
        <f t="shared" ref="G49:G58" si="12">TRUNC(E49*F49,2)</f>
        <v>123875.17</v>
      </c>
    </row>
    <row r="50" spans="1:7" x14ac:dyDescent="0.25">
      <c r="A50" s="9" t="s">
        <v>13</v>
      </c>
      <c r="B50" s="68" t="s">
        <v>50</v>
      </c>
      <c r="C50" s="10" t="s">
        <v>160</v>
      </c>
      <c r="D50" s="11" t="s">
        <v>119</v>
      </c>
      <c r="E50" s="13">
        <v>7.24</v>
      </c>
      <c r="F50" s="12">
        <v>2607.1</v>
      </c>
      <c r="G50" s="8">
        <f t="shared" si="12"/>
        <v>18875.400000000001</v>
      </c>
    </row>
    <row r="51" spans="1:7" x14ac:dyDescent="0.25">
      <c r="A51" s="9" t="s">
        <v>13</v>
      </c>
      <c r="B51" s="68" t="s">
        <v>15</v>
      </c>
      <c r="C51" s="10" t="s">
        <v>161</v>
      </c>
      <c r="D51" s="11" t="s">
        <v>119</v>
      </c>
      <c r="E51" s="13">
        <v>16.2</v>
      </c>
      <c r="F51" s="12">
        <v>3222.32</v>
      </c>
      <c r="G51" s="8">
        <f t="shared" si="12"/>
        <v>52201.58</v>
      </c>
    </row>
    <row r="52" spans="1:7" ht="24" x14ac:dyDescent="0.25">
      <c r="A52" s="9" t="s">
        <v>13</v>
      </c>
      <c r="B52" s="68" t="s">
        <v>14</v>
      </c>
      <c r="C52" s="10" t="s">
        <v>162</v>
      </c>
      <c r="D52" s="11" t="s">
        <v>119</v>
      </c>
      <c r="E52" s="13">
        <v>19.09</v>
      </c>
      <c r="F52" s="12">
        <f>F51</f>
        <v>3222.32</v>
      </c>
      <c r="G52" s="8">
        <f t="shared" si="12"/>
        <v>61514.080000000002</v>
      </c>
    </row>
    <row r="53" spans="1:7" ht="24" x14ac:dyDescent="0.25">
      <c r="A53" s="9" t="s">
        <v>13</v>
      </c>
      <c r="B53" s="68" t="s">
        <v>43</v>
      </c>
      <c r="C53" s="10" t="s">
        <v>163</v>
      </c>
      <c r="D53" s="11" t="s">
        <v>119</v>
      </c>
      <c r="E53" s="13">
        <v>28.6</v>
      </c>
      <c r="F53" s="12">
        <f>F52</f>
        <v>3222.32</v>
      </c>
      <c r="G53" s="8">
        <f t="shared" si="12"/>
        <v>92158.35</v>
      </c>
    </row>
    <row r="54" spans="1:7" ht="24" x14ac:dyDescent="0.25">
      <c r="A54" s="9" t="s">
        <v>13</v>
      </c>
      <c r="B54" s="68" t="s">
        <v>87</v>
      </c>
      <c r="C54" s="10" t="s">
        <v>164</v>
      </c>
      <c r="D54" s="11" t="s">
        <v>165</v>
      </c>
      <c r="E54" s="13">
        <v>1.84</v>
      </c>
      <c r="F54" s="12">
        <f>F53*18</f>
        <v>58001.760000000002</v>
      </c>
      <c r="G54" s="8">
        <f t="shared" si="12"/>
        <v>106723.23</v>
      </c>
    </row>
    <row r="55" spans="1:7" x14ac:dyDescent="0.25">
      <c r="A55" s="9" t="s">
        <v>13</v>
      </c>
      <c r="B55" s="68" t="s">
        <v>51</v>
      </c>
      <c r="C55" s="10" t="s">
        <v>166</v>
      </c>
      <c r="D55" s="11" t="s">
        <v>119</v>
      </c>
      <c r="E55" s="13">
        <v>30.27</v>
      </c>
      <c r="F55" s="12">
        <f>F53</f>
        <v>3222.32</v>
      </c>
      <c r="G55" s="8">
        <f t="shared" si="12"/>
        <v>97539.62</v>
      </c>
    </row>
    <row r="56" spans="1:7" x14ac:dyDescent="0.25">
      <c r="A56" s="9" t="s">
        <v>13</v>
      </c>
      <c r="B56" s="68" t="s">
        <v>68</v>
      </c>
      <c r="C56" s="10" t="s">
        <v>179</v>
      </c>
      <c r="D56" s="11" t="s">
        <v>119</v>
      </c>
      <c r="E56" s="13">
        <v>256.85000000000002</v>
      </c>
      <c r="F56" s="12">
        <v>1079</v>
      </c>
      <c r="G56" s="8">
        <f t="shared" si="12"/>
        <v>277141.15000000002</v>
      </c>
    </row>
    <row r="57" spans="1:7" x14ac:dyDescent="0.25">
      <c r="A57" s="9" t="s">
        <v>13</v>
      </c>
      <c r="B57" s="68" t="s">
        <v>52</v>
      </c>
      <c r="C57" s="10" t="s">
        <v>167</v>
      </c>
      <c r="D57" s="11" t="s">
        <v>147</v>
      </c>
      <c r="E57" s="13">
        <v>57.44</v>
      </c>
      <c r="F57" s="12">
        <v>2211.0300000000002</v>
      </c>
      <c r="G57" s="8">
        <f t="shared" si="12"/>
        <v>127001.56</v>
      </c>
    </row>
    <row r="58" spans="1:7" x14ac:dyDescent="0.25">
      <c r="A58" s="9" t="s">
        <v>13</v>
      </c>
      <c r="B58" s="68" t="s">
        <v>53</v>
      </c>
      <c r="C58" s="10" t="s">
        <v>168</v>
      </c>
      <c r="D58" s="11" t="s">
        <v>119</v>
      </c>
      <c r="E58" s="13">
        <v>211.23</v>
      </c>
      <c r="F58" s="12">
        <v>215.8</v>
      </c>
      <c r="G58" s="8">
        <f t="shared" si="12"/>
        <v>45583.43</v>
      </c>
    </row>
    <row r="59" spans="1:7" x14ac:dyDescent="0.25">
      <c r="A59" s="9" t="s">
        <v>13</v>
      </c>
      <c r="B59" s="68" t="s">
        <v>69</v>
      </c>
      <c r="C59" s="10" t="s">
        <v>180</v>
      </c>
      <c r="D59" s="11" t="s">
        <v>119</v>
      </c>
      <c r="E59" s="13">
        <v>760.08</v>
      </c>
      <c r="F59" s="12">
        <v>75.58</v>
      </c>
      <c r="G59" s="8">
        <f t="shared" ref="G59" si="13">TRUNC(E59*F59,2)</f>
        <v>57446.84</v>
      </c>
    </row>
    <row r="60" spans="1:7" x14ac:dyDescent="0.25">
      <c r="A60" s="9" t="s">
        <v>13</v>
      </c>
      <c r="B60" s="68" t="s">
        <v>65</v>
      </c>
      <c r="C60" s="10" t="s">
        <v>174</v>
      </c>
      <c r="D60" s="11" t="s">
        <v>0</v>
      </c>
      <c r="E60" s="13">
        <v>6688.82</v>
      </c>
      <c r="F60" s="12">
        <v>3</v>
      </c>
      <c r="G60" s="8">
        <f t="shared" ref="G60:G70" si="14">TRUNC(E60*F60,2)</f>
        <v>20066.46</v>
      </c>
    </row>
    <row r="61" spans="1:7" x14ac:dyDescent="0.25">
      <c r="A61" s="9" t="s">
        <v>13</v>
      </c>
      <c r="B61" s="68" t="s">
        <v>71</v>
      </c>
      <c r="C61" s="10" t="s">
        <v>181</v>
      </c>
      <c r="D61" s="11" t="s">
        <v>147</v>
      </c>
      <c r="E61" s="13">
        <v>197.21</v>
      </c>
      <c r="F61" s="12">
        <v>2335.7199999999998</v>
      </c>
      <c r="G61" s="8">
        <f t="shared" ref="G61" si="15">TRUNC(E61*F61,2)</f>
        <v>460627.34</v>
      </c>
    </row>
    <row r="62" spans="1:7" x14ac:dyDescent="0.25">
      <c r="A62" s="9" t="s">
        <v>13</v>
      </c>
      <c r="B62" s="68" t="s">
        <v>17</v>
      </c>
      <c r="C62" s="10" t="s">
        <v>182</v>
      </c>
      <c r="D62" s="11" t="s">
        <v>183</v>
      </c>
      <c r="E62" s="13">
        <v>10.49</v>
      </c>
      <c r="F62" s="12">
        <v>89048.4</v>
      </c>
      <c r="G62" s="8">
        <f t="shared" si="14"/>
        <v>934117.71</v>
      </c>
    </row>
    <row r="63" spans="1:7" x14ac:dyDescent="0.25">
      <c r="A63" s="9" t="s">
        <v>13</v>
      </c>
      <c r="B63" s="68" t="s">
        <v>70</v>
      </c>
      <c r="C63" s="10" t="s">
        <v>184</v>
      </c>
      <c r="D63" s="11" t="s">
        <v>119</v>
      </c>
      <c r="E63" s="13">
        <v>581.16</v>
      </c>
      <c r="F63" s="12">
        <v>639.05999999999995</v>
      </c>
      <c r="G63" s="8">
        <f t="shared" si="14"/>
        <v>371396.1</v>
      </c>
    </row>
    <row r="64" spans="1:7" x14ac:dyDescent="0.25">
      <c r="A64" s="9" t="s">
        <v>13</v>
      </c>
      <c r="B64" s="68" t="s">
        <v>16</v>
      </c>
      <c r="C64" s="10" t="s">
        <v>185</v>
      </c>
      <c r="D64" s="11" t="s">
        <v>119</v>
      </c>
      <c r="E64" s="13">
        <v>129.05000000000001</v>
      </c>
      <c r="F64" s="12">
        <f>F63</f>
        <v>639.05999999999995</v>
      </c>
      <c r="G64" s="8">
        <f t="shared" si="14"/>
        <v>82470.69</v>
      </c>
    </row>
    <row r="65" spans="1:7" x14ac:dyDescent="0.25">
      <c r="A65" s="9" t="s">
        <v>13</v>
      </c>
      <c r="B65" s="70" t="s">
        <v>81</v>
      </c>
      <c r="C65" s="10" t="s">
        <v>186</v>
      </c>
      <c r="D65" s="11" t="s">
        <v>119</v>
      </c>
      <c r="E65" s="13">
        <v>428.6</v>
      </c>
      <c r="F65" s="12">
        <v>60</v>
      </c>
      <c r="G65" s="8">
        <f t="shared" si="14"/>
        <v>25716</v>
      </c>
    </row>
    <row r="66" spans="1:7" x14ac:dyDescent="0.25">
      <c r="A66" s="9" t="s">
        <v>13</v>
      </c>
      <c r="B66" s="70" t="s">
        <v>82</v>
      </c>
      <c r="C66" s="10" t="s">
        <v>187</v>
      </c>
      <c r="D66" s="11" t="s">
        <v>119</v>
      </c>
      <c r="E66" s="13">
        <v>21.98</v>
      </c>
      <c r="F66" s="12">
        <v>60</v>
      </c>
      <c r="G66" s="8">
        <f t="shared" si="14"/>
        <v>1318.8</v>
      </c>
    </row>
    <row r="67" spans="1:7" x14ac:dyDescent="0.25">
      <c r="A67" s="9" t="s">
        <v>13</v>
      </c>
      <c r="B67" s="70" t="s">
        <v>83</v>
      </c>
      <c r="C67" s="10" t="s">
        <v>188</v>
      </c>
      <c r="D67" s="11" t="s">
        <v>119</v>
      </c>
      <c r="E67" s="13">
        <v>41.21</v>
      </c>
      <c r="F67" s="12">
        <v>60</v>
      </c>
      <c r="G67" s="8">
        <f t="shared" si="14"/>
        <v>2472.6</v>
      </c>
    </row>
    <row r="68" spans="1:7" x14ac:dyDescent="0.25">
      <c r="A68" s="9" t="s">
        <v>13</v>
      </c>
      <c r="B68" s="70" t="s">
        <v>84</v>
      </c>
      <c r="C68" s="10" t="s">
        <v>189</v>
      </c>
      <c r="D68" s="11" t="s">
        <v>119</v>
      </c>
      <c r="E68" s="13">
        <v>51.17</v>
      </c>
      <c r="F68" s="12">
        <v>60</v>
      </c>
      <c r="G68" s="8">
        <f t="shared" si="14"/>
        <v>3070.2</v>
      </c>
    </row>
    <row r="69" spans="1:7" x14ac:dyDescent="0.25">
      <c r="A69" s="9" t="s">
        <v>13</v>
      </c>
      <c r="B69" s="68" t="s">
        <v>102</v>
      </c>
      <c r="C69" s="10" t="s">
        <v>190</v>
      </c>
      <c r="D69" s="11" t="s">
        <v>165</v>
      </c>
      <c r="E69" s="13">
        <v>2.91</v>
      </c>
      <c r="F69" s="12">
        <f>F68*18</f>
        <v>1080</v>
      </c>
      <c r="G69" s="8">
        <f t="shared" si="14"/>
        <v>3142.8</v>
      </c>
    </row>
    <row r="70" spans="1:7" x14ac:dyDescent="0.25">
      <c r="A70" s="9" t="s">
        <v>13</v>
      </c>
      <c r="B70" s="70" t="s">
        <v>88</v>
      </c>
      <c r="C70" s="10" t="s">
        <v>191</v>
      </c>
      <c r="D70" s="11" t="s">
        <v>192</v>
      </c>
      <c r="E70" s="13">
        <v>39.53</v>
      </c>
      <c r="F70" s="12">
        <f>ROUND(F68*2,2)</f>
        <v>120</v>
      </c>
      <c r="G70" s="8">
        <f t="shared" si="14"/>
        <v>4743.6000000000004</v>
      </c>
    </row>
    <row r="71" spans="1:7" x14ac:dyDescent="0.25">
      <c r="A71" s="25"/>
      <c r="B71" s="25"/>
      <c r="C71" s="26" t="s">
        <v>67</v>
      </c>
      <c r="D71" s="27"/>
      <c r="E71" s="29"/>
      <c r="F71" s="28"/>
      <c r="G71" s="30">
        <f>SUM(G47:G70)</f>
        <v>2969202.71</v>
      </c>
    </row>
    <row r="72" spans="1:7" x14ac:dyDescent="0.25">
      <c r="A72" s="9"/>
      <c r="B72" s="68"/>
      <c r="C72" s="10"/>
      <c r="D72" s="11"/>
      <c r="E72" s="13"/>
      <c r="F72" s="12"/>
      <c r="G72" s="8"/>
    </row>
    <row r="73" spans="1:7" x14ac:dyDescent="0.25">
      <c r="A73" s="9"/>
      <c r="B73" s="6" t="s">
        <v>72</v>
      </c>
      <c r="C73" s="14" t="s">
        <v>73</v>
      </c>
      <c r="D73" s="11"/>
      <c r="E73" s="13"/>
      <c r="F73" s="12"/>
      <c r="G73" s="8"/>
    </row>
    <row r="74" spans="1:7" x14ac:dyDescent="0.25">
      <c r="A74" s="9" t="s">
        <v>13</v>
      </c>
      <c r="B74" s="68" t="s">
        <v>85</v>
      </c>
      <c r="C74" s="10" t="s">
        <v>193</v>
      </c>
      <c r="D74" s="11" t="s">
        <v>119</v>
      </c>
      <c r="E74" s="13">
        <v>17.73</v>
      </c>
      <c r="F74" s="12">
        <v>96.51</v>
      </c>
      <c r="G74" s="8">
        <f t="shared" ref="G74" si="16">TRUNC(E74*F74,2)</f>
        <v>1711.12</v>
      </c>
    </row>
    <row r="75" spans="1:7" x14ac:dyDescent="0.25">
      <c r="A75" s="9" t="s">
        <v>13</v>
      </c>
      <c r="B75" s="68" t="s">
        <v>15</v>
      </c>
      <c r="C75" s="10" t="s">
        <v>161</v>
      </c>
      <c r="D75" s="11" t="s">
        <v>119</v>
      </c>
      <c r="E75" s="13">
        <v>16.2</v>
      </c>
      <c r="F75" s="12">
        <v>96.51</v>
      </c>
      <c r="G75" s="8">
        <f t="shared" ref="G75" si="17">TRUNC(E75*F75,2)</f>
        <v>1563.46</v>
      </c>
    </row>
    <row r="76" spans="1:7" ht="24" x14ac:dyDescent="0.25">
      <c r="A76" s="9" t="s">
        <v>13</v>
      </c>
      <c r="B76" s="68" t="s">
        <v>86</v>
      </c>
      <c r="C76" s="10" t="s">
        <v>194</v>
      </c>
      <c r="D76" s="11" t="s">
        <v>119</v>
      </c>
      <c r="E76" s="13">
        <v>13.33</v>
      </c>
      <c r="F76" s="12">
        <v>96.51</v>
      </c>
      <c r="G76" s="8">
        <f t="shared" ref="G76:G78" si="18">TRUNC(E76*F76,2)</f>
        <v>1286.47</v>
      </c>
    </row>
    <row r="77" spans="1:7" ht="24" x14ac:dyDescent="0.25">
      <c r="A77" s="9" t="s">
        <v>13</v>
      </c>
      <c r="B77" s="68" t="s">
        <v>14</v>
      </c>
      <c r="C77" s="10" t="s">
        <v>162</v>
      </c>
      <c r="D77" s="11" t="s">
        <v>119</v>
      </c>
      <c r="E77" s="13">
        <v>19.09</v>
      </c>
      <c r="F77" s="12">
        <f>F76</f>
        <v>96.51</v>
      </c>
      <c r="G77" s="8">
        <f t="shared" si="18"/>
        <v>1842.37</v>
      </c>
    </row>
    <row r="78" spans="1:7" ht="24" x14ac:dyDescent="0.25">
      <c r="A78" s="9" t="s">
        <v>13</v>
      </c>
      <c r="B78" s="68" t="s">
        <v>43</v>
      </c>
      <c r="C78" s="10" t="s">
        <v>163</v>
      </c>
      <c r="D78" s="11" t="s">
        <v>119</v>
      </c>
      <c r="E78" s="13">
        <v>28.6</v>
      </c>
      <c r="F78" s="12">
        <f>F77</f>
        <v>96.51</v>
      </c>
      <c r="G78" s="8">
        <f t="shared" si="18"/>
        <v>2760.18</v>
      </c>
    </row>
    <row r="79" spans="1:7" ht="24" x14ac:dyDescent="0.25">
      <c r="A79" s="9" t="s">
        <v>13</v>
      </c>
      <c r="B79" s="68" t="s">
        <v>87</v>
      </c>
      <c r="C79" s="10" t="s">
        <v>164</v>
      </c>
      <c r="D79" s="11" t="s">
        <v>165</v>
      </c>
      <c r="E79" s="13">
        <v>1.84</v>
      </c>
      <c r="F79" s="12">
        <f>F76*18</f>
        <v>1737.18</v>
      </c>
      <c r="G79" s="8">
        <f t="shared" ref="G79" si="19">TRUNC(E79*F79,2)</f>
        <v>3196.41</v>
      </c>
    </row>
    <row r="80" spans="1:7" x14ac:dyDescent="0.25">
      <c r="A80" s="9" t="s">
        <v>28</v>
      </c>
      <c r="B80" s="75">
        <v>15002000</v>
      </c>
      <c r="C80" s="10" t="s">
        <v>195</v>
      </c>
      <c r="D80" s="11" t="s">
        <v>119</v>
      </c>
      <c r="E80" s="13">
        <v>157.32</v>
      </c>
      <c r="F80" s="12">
        <v>332.71</v>
      </c>
      <c r="G80" s="8">
        <f t="shared" ref="G80:G92" si="20">TRUNC(E80*F80,2)</f>
        <v>52341.93</v>
      </c>
    </row>
    <row r="81" spans="1:7" ht="48" x14ac:dyDescent="0.25">
      <c r="A81" s="9" t="s">
        <v>28</v>
      </c>
      <c r="B81" s="75">
        <v>15004005</v>
      </c>
      <c r="C81" s="10" t="s">
        <v>196</v>
      </c>
      <c r="D81" s="11" t="s">
        <v>80</v>
      </c>
      <c r="E81" s="13">
        <v>506.23</v>
      </c>
      <c r="F81" s="12">
        <v>29.37</v>
      </c>
      <c r="G81" s="8">
        <f t="shared" si="20"/>
        <v>14867.97</v>
      </c>
    </row>
    <row r="82" spans="1:7" ht="24" x14ac:dyDescent="0.25">
      <c r="A82" s="77" t="s">
        <v>28</v>
      </c>
      <c r="B82" s="84">
        <v>15006016</v>
      </c>
      <c r="C82" s="79" t="s">
        <v>197</v>
      </c>
      <c r="D82" s="80" t="s">
        <v>80</v>
      </c>
      <c r="E82" s="81">
        <v>13714.08</v>
      </c>
      <c r="F82" s="82">
        <f t="shared" ref="F82" si="21">F81</f>
        <v>29.37</v>
      </c>
      <c r="G82" s="83">
        <f t="shared" si="20"/>
        <v>402782.52</v>
      </c>
    </row>
    <row r="83" spans="1:7" x14ac:dyDescent="0.25">
      <c r="A83" s="9" t="s">
        <v>13</v>
      </c>
      <c r="B83" s="68" t="s">
        <v>71</v>
      </c>
      <c r="C83" s="10" t="s">
        <v>181</v>
      </c>
      <c r="D83" s="11" t="s">
        <v>147</v>
      </c>
      <c r="E83" s="13">
        <v>197.21</v>
      </c>
      <c r="F83" s="12">
        <v>423.2</v>
      </c>
      <c r="G83" s="8">
        <f t="shared" si="20"/>
        <v>83459.27</v>
      </c>
    </row>
    <row r="84" spans="1:7" x14ac:dyDescent="0.25">
      <c r="A84" s="9" t="s">
        <v>13</v>
      </c>
      <c r="B84" s="68" t="s">
        <v>17</v>
      </c>
      <c r="C84" s="10" t="s">
        <v>182</v>
      </c>
      <c r="D84" s="11" t="s">
        <v>183</v>
      </c>
      <c r="E84" s="13">
        <v>10.49</v>
      </c>
      <c r="F84" s="12">
        <v>16307.2</v>
      </c>
      <c r="G84" s="8">
        <f t="shared" si="20"/>
        <v>171062.52</v>
      </c>
    </row>
    <row r="85" spans="1:7" x14ac:dyDescent="0.25">
      <c r="A85" s="9" t="s">
        <v>13</v>
      </c>
      <c r="B85" s="68" t="s">
        <v>70</v>
      </c>
      <c r="C85" s="10" t="s">
        <v>184</v>
      </c>
      <c r="D85" s="11" t="s">
        <v>119</v>
      </c>
      <c r="E85" s="13">
        <v>581.16</v>
      </c>
      <c r="F85" s="12">
        <v>116.48</v>
      </c>
      <c r="G85" s="8">
        <f t="shared" si="20"/>
        <v>67693.509999999995</v>
      </c>
    </row>
    <row r="86" spans="1:7" x14ac:dyDescent="0.25">
      <c r="A86" s="9" t="s">
        <v>13</v>
      </c>
      <c r="B86" s="68" t="s">
        <v>16</v>
      </c>
      <c r="C86" s="10" t="s">
        <v>185</v>
      </c>
      <c r="D86" s="11" t="s">
        <v>119</v>
      </c>
      <c r="E86" s="13">
        <v>129.05000000000001</v>
      </c>
      <c r="F86" s="12">
        <f>F85</f>
        <v>116.48</v>
      </c>
      <c r="G86" s="8">
        <f t="shared" si="20"/>
        <v>15031.74</v>
      </c>
    </row>
    <row r="87" spans="1:7" x14ac:dyDescent="0.25">
      <c r="A87" s="9" t="s">
        <v>13</v>
      </c>
      <c r="B87" s="68" t="s">
        <v>68</v>
      </c>
      <c r="C87" s="10" t="s">
        <v>179</v>
      </c>
      <c r="D87" s="11" t="s">
        <v>119</v>
      </c>
      <c r="E87" s="13">
        <v>256.85000000000002</v>
      </c>
      <c r="F87" s="12">
        <v>78.400000000000006</v>
      </c>
      <c r="G87" s="8">
        <f t="shared" si="20"/>
        <v>20137.04</v>
      </c>
    </row>
    <row r="88" spans="1:7" x14ac:dyDescent="0.25">
      <c r="A88" s="9" t="s">
        <v>13</v>
      </c>
      <c r="B88" s="68" t="s">
        <v>53</v>
      </c>
      <c r="C88" s="10" t="s">
        <v>168</v>
      </c>
      <c r="D88" s="11" t="s">
        <v>119</v>
      </c>
      <c r="E88" s="13">
        <v>211.23</v>
      </c>
      <c r="F88" s="12">
        <v>23.2</v>
      </c>
      <c r="G88" s="8">
        <f t="shared" ref="G88:G89" si="22">TRUNC(E88*F88,2)</f>
        <v>4900.53</v>
      </c>
    </row>
    <row r="89" spans="1:7" x14ac:dyDescent="0.25">
      <c r="A89" s="9" t="s">
        <v>13</v>
      </c>
      <c r="B89" s="68" t="s">
        <v>69</v>
      </c>
      <c r="C89" s="10" t="s">
        <v>180</v>
      </c>
      <c r="D89" s="11" t="s">
        <v>119</v>
      </c>
      <c r="E89" s="13">
        <v>760.08</v>
      </c>
      <c r="F89" s="12">
        <v>11.2</v>
      </c>
      <c r="G89" s="8">
        <f t="shared" si="22"/>
        <v>8512.89</v>
      </c>
    </row>
    <row r="90" spans="1:7" x14ac:dyDescent="0.25">
      <c r="A90" s="9" t="s">
        <v>28</v>
      </c>
      <c r="B90" s="75">
        <v>6018003</v>
      </c>
      <c r="C90" s="10" t="s">
        <v>198</v>
      </c>
      <c r="D90" s="11" t="s">
        <v>0</v>
      </c>
      <c r="E90" s="13">
        <v>10683.13</v>
      </c>
      <c r="F90" s="12">
        <v>8</v>
      </c>
      <c r="G90" s="8">
        <f t="shared" si="20"/>
        <v>85465.04</v>
      </c>
    </row>
    <row r="91" spans="1:7" ht="24" x14ac:dyDescent="0.25">
      <c r="A91" s="9" t="s">
        <v>13</v>
      </c>
      <c r="B91" s="68" t="s">
        <v>55</v>
      </c>
      <c r="C91" s="10" t="s">
        <v>175</v>
      </c>
      <c r="D91" s="11" t="s">
        <v>80</v>
      </c>
      <c r="E91" s="13">
        <v>712.89</v>
      </c>
      <c r="F91" s="12">
        <v>12</v>
      </c>
      <c r="G91" s="8">
        <f t="shared" si="20"/>
        <v>8554.68</v>
      </c>
    </row>
    <row r="92" spans="1:7" x14ac:dyDescent="0.25">
      <c r="A92" s="9" t="s">
        <v>13</v>
      </c>
      <c r="B92" s="68" t="s">
        <v>56</v>
      </c>
      <c r="C92" s="10" t="s">
        <v>176</v>
      </c>
      <c r="D92" s="11" t="s">
        <v>0</v>
      </c>
      <c r="E92" s="13">
        <v>588.39</v>
      </c>
      <c r="F92" s="12">
        <v>8</v>
      </c>
      <c r="G92" s="8">
        <f t="shared" si="20"/>
        <v>4707.12</v>
      </c>
    </row>
    <row r="93" spans="1:7" x14ac:dyDescent="0.25">
      <c r="A93" s="25"/>
      <c r="B93" s="25"/>
      <c r="C93" s="26" t="s">
        <v>74</v>
      </c>
      <c r="D93" s="27"/>
      <c r="E93" s="29"/>
      <c r="F93" s="28"/>
      <c r="G93" s="30">
        <f>SUM(G72:G92)</f>
        <v>951876.77000000025</v>
      </c>
    </row>
    <row r="94" spans="1:7" x14ac:dyDescent="0.25">
      <c r="A94" s="9"/>
      <c r="B94" s="68"/>
      <c r="C94" s="10"/>
      <c r="D94" s="11"/>
      <c r="E94" s="13"/>
      <c r="F94" s="12"/>
      <c r="G94" s="8"/>
    </row>
    <row r="95" spans="1:7" x14ac:dyDescent="0.25">
      <c r="A95" s="9"/>
      <c r="B95" s="6" t="s">
        <v>75</v>
      </c>
      <c r="C95" s="14" t="s">
        <v>76</v>
      </c>
      <c r="D95" s="11"/>
      <c r="E95" s="13"/>
      <c r="F95" s="12"/>
      <c r="G95" s="8"/>
    </row>
    <row r="96" spans="1:7" x14ac:dyDescent="0.25">
      <c r="A96" s="9" t="s">
        <v>13</v>
      </c>
      <c r="B96" s="68" t="s">
        <v>15</v>
      </c>
      <c r="C96" s="10" t="s">
        <v>161</v>
      </c>
      <c r="D96" s="11" t="s">
        <v>119</v>
      </c>
      <c r="E96" s="13">
        <v>16.2</v>
      </c>
      <c r="F96" s="12">
        <f>F101</f>
        <v>3345.67</v>
      </c>
      <c r="G96" s="8">
        <f t="shared" ref="G96:G100" si="23">TRUNC(E96*F96,2)</f>
        <v>54199.85</v>
      </c>
    </row>
    <row r="97" spans="1:7" ht="24" x14ac:dyDescent="0.25">
      <c r="A97" s="9" t="s">
        <v>13</v>
      </c>
      <c r="B97" s="68" t="s">
        <v>14</v>
      </c>
      <c r="C97" s="10" t="s">
        <v>162</v>
      </c>
      <c r="D97" s="11" t="s">
        <v>119</v>
      </c>
      <c r="E97" s="13">
        <v>19.09</v>
      </c>
      <c r="F97" s="12">
        <f>F96</f>
        <v>3345.67</v>
      </c>
      <c r="G97" s="8">
        <f t="shared" si="23"/>
        <v>63868.84</v>
      </c>
    </row>
    <row r="98" spans="1:7" ht="24" x14ac:dyDescent="0.25">
      <c r="A98" s="9" t="s">
        <v>13</v>
      </c>
      <c r="B98" s="68" t="s">
        <v>43</v>
      </c>
      <c r="C98" s="10" t="s">
        <v>163</v>
      </c>
      <c r="D98" s="11" t="s">
        <v>119</v>
      </c>
      <c r="E98" s="13">
        <v>28.6</v>
      </c>
      <c r="F98" s="12">
        <f>F97</f>
        <v>3345.67</v>
      </c>
      <c r="G98" s="8">
        <f t="shared" si="23"/>
        <v>95686.16</v>
      </c>
    </row>
    <row r="99" spans="1:7" ht="24" x14ac:dyDescent="0.25">
      <c r="A99" s="9" t="s">
        <v>13</v>
      </c>
      <c r="B99" s="68" t="s">
        <v>87</v>
      </c>
      <c r="C99" s="10" t="s">
        <v>164</v>
      </c>
      <c r="D99" s="11" t="s">
        <v>165</v>
      </c>
      <c r="E99" s="13">
        <v>1.84</v>
      </c>
      <c r="F99" s="12">
        <f>F98*18</f>
        <v>60222.06</v>
      </c>
      <c r="G99" s="8">
        <f t="shared" si="23"/>
        <v>110808.59</v>
      </c>
    </row>
    <row r="100" spans="1:7" x14ac:dyDescent="0.25">
      <c r="A100" s="9" t="s">
        <v>13</v>
      </c>
      <c r="B100" s="68" t="s">
        <v>51</v>
      </c>
      <c r="C100" s="10" t="s">
        <v>166</v>
      </c>
      <c r="D100" s="11" t="s">
        <v>119</v>
      </c>
      <c r="E100" s="13">
        <v>30.27</v>
      </c>
      <c r="F100" s="12">
        <f>F98</f>
        <v>3345.67</v>
      </c>
      <c r="G100" s="8">
        <f t="shared" si="23"/>
        <v>101273.43</v>
      </c>
    </row>
    <row r="101" spans="1:7" ht="36" x14ac:dyDescent="0.25">
      <c r="A101" s="9" t="s">
        <v>28</v>
      </c>
      <c r="B101" s="75">
        <v>15001000</v>
      </c>
      <c r="C101" s="10" t="s">
        <v>199</v>
      </c>
      <c r="D101" s="11" t="s">
        <v>119</v>
      </c>
      <c r="E101" s="13">
        <v>357.26</v>
      </c>
      <c r="F101" s="12">
        <v>3345.67</v>
      </c>
      <c r="G101" s="8">
        <f t="shared" ref="G101:G113" si="24">TRUNC(E101*F101,2)</f>
        <v>1195274.06</v>
      </c>
    </row>
    <row r="102" spans="1:7" ht="24" x14ac:dyDescent="0.25">
      <c r="A102" s="9" t="s">
        <v>28</v>
      </c>
      <c r="B102" s="75">
        <v>15003000</v>
      </c>
      <c r="C102" s="10" t="s">
        <v>200</v>
      </c>
      <c r="D102" s="11" t="s">
        <v>80</v>
      </c>
      <c r="E102" s="13">
        <v>103</v>
      </c>
      <c r="F102" s="12">
        <v>416</v>
      </c>
      <c r="G102" s="8">
        <f t="shared" si="24"/>
        <v>42848</v>
      </c>
    </row>
    <row r="103" spans="1:7" ht="36" x14ac:dyDescent="0.25">
      <c r="A103" s="76" t="s">
        <v>78</v>
      </c>
      <c r="B103" s="70" t="s">
        <v>78</v>
      </c>
      <c r="C103" s="10" t="s">
        <v>79</v>
      </c>
      <c r="D103" s="11" t="s">
        <v>80</v>
      </c>
      <c r="E103" s="13">
        <v>606.87</v>
      </c>
      <c r="F103" s="12">
        <v>416</v>
      </c>
      <c r="G103" s="8">
        <f>TRUNC(E103*F103,2)</f>
        <v>252457.92</v>
      </c>
    </row>
    <row r="104" spans="1:7" ht="24" x14ac:dyDescent="0.25">
      <c r="A104" s="9" t="s">
        <v>28</v>
      </c>
      <c r="B104" s="75">
        <v>15006016</v>
      </c>
      <c r="C104" s="10" t="s">
        <v>197</v>
      </c>
      <c r="D104" s="11" t="s">
        <v>80</v>
      </c>
      <c r="E104" s="13">
        <v>13714.08</v>
      </c>
      <c r="F104" s="12">
        <f t="shared" ref="F104" si="25">F103</f>
        <v>416</v>
      </c>
      <c r="G104" s="8">
        <f t="shared" si="24"/>
        <v>5705057.2800000003</v>
      </c>
    </row>
    <row r="105" spans="1:7" ht="36" x14ac:dyDescent="0.25">
      <c r="A105" s="9" t="s">
        <v>28</v>
      </c>
      <c r="B105" s="75">
        <v>15009000</v>
      </c>
      <c r="C105" s="10" t="s">
        <v>201</v>
      </c>
      <c r="D105" s="11" t="s">
        <v>80</v>
      </c>
      <c r="E105" s="13">
        <v>135.65</v>
      </c>
      <c r="F105" s="12">
        <f>416*25</f>
        <v>10400</v>
      </c>
      <c r="G105" s="8">
        <f t="shared" si="24"/>
        <v>1410760</v>
      </c>
    </row>
    <row r="106" spans="1:7" ht="24" x14ac:dyDescent="0.25">
      <c r="A106" s="9" t="s">
        <v>28</v>
      </c>
      <c r="B106" s="75">
        <v>10012000</v>
      </c>
      <c r="C106" s="10" t="s">
        <v>202</v>
      </c>
      <c r="D106" s="11" t="s">
        <v>203</v>
      </c>
      <c r="E106" s="13">
        <v>1.35</v>
      </c>
      <c r="F106" s="12">
        <v>91720</v>
      </c>
      <c r="G106" s="8">
        <f t="shared" ref="G106" si="26">TRUNC(E106*F106,2)</f>
        <v>123822</v>
      </c>
    </row>
    <row r="107" spans="1:7" x14ac:dyDescent="0.25">
      <c r="A107" s="9" t="s">
        <v>13</v>
      </c>
      <c r="B107" s="75" t="s">
        <v>120</v>
      </c>
      <c r="C107" s="10" t="s">
        <v>204</v>
      </c>
      <c r="D107" s="11" t="s">
        <v>183</v>
      </c>
      <c r="E107" s="13">
        <v>10.08</v>
      </c>
      <c r="F107" s="12">
        <v>37513.33</v>
      </c>
      <c r="G107" s="8">
        <f t="shared" si="24"/>
        <v>378134.36</v>
      </c>
    </row>
    <row r="108" spans="1:7" ht="24" x14ac:dyDescent="0.25">
      <c r="A108" s="9" t="s">
        <v>28</v>
      </c>
      <c r="B108" s="75">
        <v>10007004</v>
      </c>
      <c r="C108" s="10" t="s">
        <v>205</v>
      </c>
      <c r="D108" s="11" t="s">
        <v>119</v>
      </c>
      <c r="E108" s="13">
        <v>1008.05</v>
      </c>
      <c r="F108" s="12">
        <v>501.85</v>
      </c>
      <c r="G108" s="8">
        <f t="shared" si="24"/>
        <v>505889.89</v>
      </c>
    </row>
    <row r="109" spans="1:7" x14ac:dyDescent="0.25">
      <c r="A109" s="9" t="s">
        <v>28</v>
      </c>
      <c r="B109" s="75">
        <v>13001003</v>
      </c>
      <c r="C109" s="10" t="s">
        <v>206</v>
      </c>
      <c r="D109" s="11" t="s">
        <v>80</v>
      </c>
      <c r="E109" s="13">
        <v>237.99</v>
      </c>
      <c r="F109" s="12">
        <f>416*25</f>
        <v>10400</v>
      </c>
      <c r="G109" s="8">
        <f t="shared" ref="G109:G112" si="27">TRUNC(E109*F109,2)</f>
        <v>2475096</v>
      </c>
    </row>
    <row r="110" spans="1:7" ht="24" x14ac:dyDescent="0.25">
      <c r="A110" s="9" t="s">
        <v>13</v>
      </c>
      <c r="B110" s="68" t="s">
        <v>121</v>
      </c>
      <c r="C110" s="10" t="s">
        <v>207</v>
      </c>
      <c r="D110" s="11" t="s">
        <v>145</v>
      </c>
      <c r="E110" s="13">
        <v>11092.86</v>
      </c>
      <c r="F110" s="12">
        <v>1</v>
      </c>
      <c r="G110" s="8">
        <f t="shared" si="27"/>
        <v>11092.86</v>
      </c>
    </row>
    <row r="111" spans="1:7" ht="24" x14ac:dyDescent="0.25">
      <c r="A111" s="77" t="s">
        <v>13</v>
      </c>
      <c r="B111" s="78" t="s">
        <v>122</v>
      </c>
      <c r="C111" s="79" t="s">
        <v>208</v>
      </c>
      <c r="D111" s="80" t="s">
        <v>209</v>
      </c>
      <c r="E111" s="81">
        <v>769.35</v>
      </c>
      <c r="F111" s="82">
        <f>ROUND((200/50)*60,2)</f>
        <v>240</v>
      </c>
      <c r="G111" s="83">
        <f t="shared" si="27"/>
        <v>184644</v>
      </c>
    </row>
    <row r="112" spans="1:7" x14ac:dyDescent="0.25">
      <c r="A112" s="77" t="s">
        <v>13</v>
      </c>
      <c r="B112" s="78" t="s">
        <v>123</v>
      </c>
      <c r="C112" s="79" t="s">
        <v>210</v>
      </c>
      <c r="D112" s="80" t="s">
        <v>0</v>
      </c>
      <c r="E112" s="81">
        <v>453.57</v>
      </c>
      <c r="F112" s="82">
        <f>ROUND((200/2)*2,2)</f>
        <v>200</v>
      </c>
      <c r="G112" s="83">
        <f t="shared" si="27"/>
        <v>90714</v>
      </c>
    </row>
    <row r="113" spans="1:7" x14ac:dyDescent="0.25">
      <c r="A113" s="9" t="s">
        <v>13</v>
      </c>
      <c r="B113" s="70" t="s">
        <v>81</v>
      </c>
      <c r="C113" s="10" t="s">
        <v>186</v>
      </c>
      <c r="D113" s="11" t="s">
        <v>119</v>
      </c>
      <c r="E113" s="13">
        <v>428.6</v>
      </c>
      <c r="F113" s="12">
        <v>19.3</v>
      </c>
      <c r="G113" s="8">
        <f t="shared" si="24"/>
        <v>8271.98</v>
      </c>
    </row>
    <row r="114" spans="1:7" x14ac:dyDescent="0.25">
      <c r="A114" s="9" t="s">
        <v>13</v>
      </c>
      <c r="B114" s="70" t="s">
        <v>82</v>
      </c>
      <c r="C114" s="10" t="s">
        <v>187</v>
      </c>
      <c r="D114" s="11" t="s">
        <v>119</v>
      </c>
      <c r="E114" s="13">
        <v>21.98</v>
      </c>
      <c r="F114" s="12">
        <f>F113</f>
        <v>19.3</v>
      </c>
      <c r="G114" s="8">
        <f t="shared" ref="G114:G117" si="28">TRUNC(E114*F114,2)</f>
        <v>424.21</v>
      </c>
    </row>
    <row r="115" spans="1:7" x14ac:dyDescent="0.25">
      <c r="A115" s="9" t="s">
        <v>13</v>
      </c>
      <c r="B115" s="70" t="s">
        <v>83</v>
      </c>
      <c r="C115" s="10" t="s">
        <v>188</v>
      </c>
      <c r="D115" s="11" t="s">
        <v>119</v>
      </c>
      <c r="E115" s="13">
        <v>41.21</v>
      </c>
      <c r="F115" s="12">
        <f>F113</f>
        <v>19.3</v>
      </c>
      <c r="G115" s="8">
        <f t="shared" si="28"/>
        <v>795.35</v>
      </c>
    </row>
    <row r="116" spans="1:7" x14ac:dyDescent="0.25">
      <c r="A116" s="9" t="s">
        <v>13</v>
      </c>
      <c r="B116" s="70" t="s">
        <v>84</v>
      </c>
      <c r="C116" s="10" t="s">
        <v>189</v>
      </c>
      <c r="D116" s="11" t="s">
        <v>119</v>
      </c>
      <c r="E116" s="13">
        <v>51.17</v>
      </c>
      <c r="F116" s="12">
        <f>F113</f>
        <v>19.3</v>
      </c>
      <c r="G116" s="8">
        <f t="shared" si="28"/>
        <v>987.58</v>
      </c>
    </row>
    <row r="117" spans="1:7" x14ac:dyDescent="0.25">
      <c r="A117" s="9" t="s">
        <v>13</v>
      </c>
      <c r="B117" s="68" t="s">
        <v>102</v>
      </c>
      <c r="C117" s="10" t="s">
        <v>190</v>
      </c>
      <c r="D117" s="11" t="s">
        <v>165</v>
      </c>
      <c r="E117" s="13">
        <v>2.91</v>
      </c>
      <c r="F117" s="12">
        <f>F116*18</f>
        <v>347.40000000000003</v>
      </c>
      <c r="G117" s="8">
        <f t="shared" si="28"/>
        <v>1010.93</v>
      </c>
    </row>
    <row r="118" spans="1:7" x14ac:dyDescent="0.25">
      <c r="A118" s="9" t="s">
        <v>13</v>
      </c>
      <c r="B118" s="70" t="s">
        <v>88</v>
      </c>
      <c r="C118" s="10" t="s">
        <v>191</v>
      </c>
      <c r="D118" s="11" t="s">
        <v>192</v>
      </c>
      <c r="E118" s="13">
        <v>39.53</v>
      </c>
      <c r="F118" s="12">
        <f>ROUND(F116*2,2)</f>
        <v>38.6</v>
      </c>
      <c r="G118" s="8">
        <f t="shared" ref="G118" si="29">TRUNC(E118*F118,2)</f>
        <v>1525.85</v>
      </c>
    </row>
    <row r="119" spans="1:7" x14ac:dyDescent="0.25">
      <c r="A119" s="25"/>
      <c r="B119" s="25"/>
      <c r="C119" s="26" t="s">
        <v>77</v>
      </c>
      <c r="D119" s="27"/>
      <c r="E119" s="29"/>
      <c r="F119" s="28"/>
      <c r="G119" s="30">
        <f>SUM(G94:G118)</f>
        <v>12814643.140000001</v>
      </c>
    </row>
    <row r="120" spans="1:7" x14ac:dyDescent="0.25">
      <c r="A120" s="9"/>
      <c r="B120" s="6" t="s">
        <v>105</v>
      </c>
      <c r="C120" s="14" t="s">
        <v>106</v>
      </c>
      <c r="D120" s="11"/>
      <c r="E120" s="13"/>
      <c r="F120" s="12"/>
      <c r="G120" s="8"/>
    </row>
    <row r="121" spans="1:7" x14ac:dyDescent="0.25">
      <c r="A121" s="9" t="s">
        <v>28</v>
      </c>
      <c r="B121" s="75">
        <v>10005000</v>
      </c>
      <c r="C121" s="10" t="s">
        <v>211</v>
      </c>
      <c r="D121" s="11" t="s">
        <v>147</v>
      </c>
      <c r="E121" s="13">
        <v>126.19</v>
      </c>
      <c r="F121" s="12">
        <v>3958.41</v>
      </c>
      <c r="G121" s="8">
        <f t="shared" ref="G121:G123" si="30">TRUNC(E121*F121,2)</f>
        <v>499511.75</v>
      </c>
    </row>
    <row r="122" spans="1:7" x14ac:dyDescent="0.25">
      <c r="A122" s="9" t="s">
        <v>13</v>
      </c>
      <c r="B122" s="75" t="s">
        <v>120</v>
      </c>
      <c r="C122" s="10" t="s">
        <v>204</v>
      </c>
      <c r="D122" s="11" t="s">
        <v>183</v>
      </c>
      <c r="E122" s="13">
        <v>10.08</v>
      </c>
      <c r="F122" s="12">
        <v>35506.94</v>
      </c>
      <c r="G122" s="8">
        <f t="shared" si="30"/>
        <v>357909.95</v>
      </c>
    </row>
    <row r="123" spans="1:7" ht="24" x14ac:dyDescent="0.25">
      <c r="A123" s="9" t="s">
        <v>28</v>
      </c>
      <c r="B123" s="75">
        <v>10007004</v>
      </c>
      <c r="C123" s="10" t="s">
        <v>205</v>
      </c>
      <c r="D123" s="11" t="s">
        <v>119</v>
      </c>
      <c r="E123" s="13">
        <v>1008.05</v>
      </c>
      <c r="F123" s="12">
        <v>296.88</v>
      </c>
      <c r="G123" s="8">
        <f t="shared" si="30"/>
        <v>299269.88</v>
      </c>
    </row>
    <row r="124" spans="1:7" x14ac:dyDescent="0.25">
      <c r="A124" s="9" t="s">
        <v>11</v>
      </c>
      <c r="B124" s="70" t="s">
        <v>117</v>
      </c>
      <c r="C124" s="10" t="s">
        <v>118</v>
      </c>
      <c r="D124" s="11" t="s">
        <v>119</v>
      </c>
      <c r="E124" s="13">
        <v>270.24</v>
      </c>
      <c r="F124" s="12">
        <v>2827</v>
      </c>
      <c r="G124" s="8">
        <f t="shared" ref="G124" si="31">TRUNC(E124*F124,2)</f>
        <v>763968.48</v>
      </c>
    </row>
    <row r="125" spans="1:7" x14ac:dyDescent="0.25">
      <c r="A125" s="25"/>
      <c r="B125" s="25"/>
      <c r="C125" s="26" t="s">
        <v>107</v>
      </c>
      <c r="D125" s="27"/>
      <c r="E125" s="29"/>
      <c r="F125" s="28"/>
      <c r="G125" s="30">
        <f>SUM(G120:G124)</f>
        <v>1920660.06</v>
      </c>
    </row>
    <row r="126" spans="1:7" x14ac:dyDescent="0.25">
      <c r="A126" s="25"/>
      <c r="B126" s="25"/>
      <c r="C126" s="26" t="s">
        <v>29</v>
      </c>
      <c r="D126" s="27"/>
      <c r="E126" s="29"/>
      <c r="F126" s="28"/>
      <c r="G126" s="30">
        <f>G46+G71+G93+G119+G125</f>
        <v>19022471.779999997</v>
      </c>
    </row>
    <row r="127" spans="1:7" x14ac:dyDescent="0.25">
      <c r="A127" s="9"/>
      <c r="B127" s="70"/>
      <c r="C127" s="10"/>
      <c r="D127" s="11"/>
      <c r="E127" s="13"/>
      <c r="F127" s="12"/>
      <c r="G127" s="8"/>
    </row>
    <row r="128" spans="1:7" x14ac:dyDescent="0.25">
      <c r="A128" s="9"/>
      <c r="B128" s="6" t="s">
        <v>90</v>
      </c>
      <c r="C128" s="14" t="s">
        <v>91</v>
      </c>
      <c r="D128" s="11"/>
      <c r="E128" s="13"/>
      <c r="F128" s="12"/>
      <c r="G128" s="8"/>
    </row>
    <row r="129" spans="1:7" ht="24" x14ac:dyDescent="0.25">
      <c r="A129" s="9" t="s">
        <v>13</v>
      </c>
      <c r="B129" s="68" t="s">
        <v>93</v>
      </c>
      <c r="C129" s="10" t="s">
        <v>212</v>
      </c>
      <c r="D129" s="11" t="s">
        <v>80</v>
      </c>
      <c r="E129" s="13">
        <v>9.48</v>
      </c>
      <c r="F129" s="12">
        <v>300</v>
      </c>
      <c r="G129" s="8">
        <f t="shared" ref="G129:G140" si="32">TRUNC(E129*F129,2)</f>
        <v>2844</v>
      </c>
    </row>
    <row r="130" spans="1:7" ht="24" x14ac:dyDescent="0.25">
      <c r="A130" s="9" t="s">
        <v>13</v>
      </c>
      <c r="B130" s="68" t="s">
        <v>94</v>
      </c>
      <c r="C130" s="10" t="s">
        <v>213</v>
      </c>
      <c r="D130" s="11" t="s">
        <v>147</v>
      </c>
      <c r="E130" s="13">
        <v>33.19</v>
      </c>
      <c r="F130" s="12">
        <f>ROUND(F129*0.45,2)</f>
        <v>135</v>
      </c>
      <c r="G130" s="8">
        <f t="shared" si="32"/>
        <v>4480.6499999999996</v>
      </c>
    </row>
    <row r="131" spans="1:7" ht="24" x14ac:dyDescent="0.25">
      <c r="A131" s="9" t="s">
        <v>13</v>
      </c>
      <c r="B131" s="68" t="s">
        <v>104</v>
      </c>
      <c r="C131" s="10" t="s">
        <v>214</v>
      </c>
      <c r="D131" s="11" t="s">
        <v>147</v>
      </c>
      <c r="E131" s="13">
        <v>29.53</v>
      </c>
      <c r="F131" s="12">
        <v>1200</v>
      </c>
      <c r="G131" s="8">
        <f t="shared" ref="G131" si="33">TRUNC(E131*F131,2)</f>
        <v>35436</v>
      </c>
    </row>
    <row r="132" spans="1:7" x14ac:dyDescent="0.25">
      <c r="A132" s="9" t="s">
        <v>13</v>
      </c>
      <c r="B132" s="68" t="s">
        <v>95</v>
      </c>
      <c r="C132" s="10" t="s">
        <v>215</v>
      </c>
      <c r="D132" s="11" t="s">
        <v>119</v>
      </c>
      <c r="E132" s="13">
        <v>587.79999999999995</v>
      </c>
      <c r="F132" s="12">
        <f>ROUND(F133*0.675*0.1,2)</f>
        <v>20.25</v>
      </c>
      <c r="G132" s="8">
        <f t="shared" si="32"/>
        <v>11902.95</v>
      </c>
    </row>
    <row r="133" spans="1:7" x14ac:dyDescent="0.25">
      <c r="A133" s="9" t="s">
        <v>13</v>
      </c>
      <c r="B133" s="68" t="s">
        <v>96</v>
      </c>
      <c r="C133" s="10" t="s">
        <v>216</v>
      </c>
      <c r="D133" s="11" t="s">
        <v>80</v>
      </c>
      <c r="E133" s="13">
        <v>56.73</v>
      </c>
      <c r="F133" s="12">
        <v>300</v>
      </c>
      <c r="G133" s="8">
        <f t="shared" si="32"/>
        <v>17019</v>
      </c>
    </row>
    <row r="134" spans="1:7" x14ac:dyDescent="0.25">
      <c r="A134" s="9" t="s">
        <v>13</v>
      </c>
      <c r="B134" s="68" t="s">
        <v>97</v>
      </c>
      <c r="C134" s="10" t="s">
        <v>217</v>
      </c>
      <c r="D134" s="11" t="s">
        <v>119</v>
      </c>
      <c r="E134" s="13">
        <v>875.97</v>
      </c>
      <c r="F134" s="12">
        <f>ROUND(F133*0.45*0.15,2)</f>
        <v>20.25</v>
      </c>
      <c r="G134" s="8">
        <f t="shared" si="32"/>
        <v>17738.39</v>
      </c>
    </row>
    <row r="135" spans="1:7" x14ac:dyDescent="0.25">
      <c r="A135" s="9" t="s">
        <v>13</v>
      </c>
      <c r="B135" s="68" t="s">
        <v>98</v>
      </c>
      <c r="C135" s="10" t="s">
        <v>218</v>
      </c>
      <c r="D135" s="11" t="s">
        <v>119</v>
      </c>
      <c r="E135" s="13">
        <v>1249.76</v>
      </c>
      <c r="F135" s="12">
        <f>ROUND(1200*0.1,2)</f>
        <v>120</v>
      </c>
      <c r="G135" s="8">
        <f t="shared" si="32"/>
        <v>149971.20000000001</v>
      </c>
    </row>
    <row r="136" spans="1:7" x14ac:dyDescent="0.25">
      <c r="A136" s="9" t="s">
        <v>13</v>
      </c>
      <c r="B136" s="68" t="s">
        <v>99</v>
      </c>
      <c r="C136" s="10" t="s">
        <v>219</v>
      </c>
      <c r="D136" s="11" t="s">
        <v>147</v>
      </c>
      <c r="E136" s="13">
        <v>6.02</v>
      </c>
      <c r="F136" s="12">
        <v>2400</v>
      </c>
      <c r="G136" s="8">
        <f t="shared" si="32"/>
        <v>14448</v>
      </c>
    </row>
    <row r="137" spans="1:7" x14ac:dyDescent="0.25">
      <c r="A137" s="9" t="s">
        <v>13</v>
      </c>
      <c r="B137" s="68" t="s">
        <v>100</v>
      </c>
      <c r="C137" s="10" t="s">
        <v>220</v>
      </c>
      <c r="D137" s="11" t="s">
        <v>147</v>
      </c>
      <c r="E137" s="13">
        <v>15.59</v>
      </c>
      <c r="F137" s="12">
        <v>1200</v>
      </c>
      <c r="G137" s="8">
        <f t="shared" si="32"/>
        <v>18708</v>
      </c>
    </row>
    <row r="138" spans="1:7" x14ac:dyDescent="0.25">
      <c r="A138" s="9" t="s">
        <v>13</v>
      </c>
      <c r="B138" s="68" t="s">
        <v>101</v>
      </c>
      <c r="C138" s="10" t="s">
        <v>221</v>
      </c>
      <c r="D138" s="11" t="s">
        <v>119</v>
      </c>
      <c r="E138" s="13">
        <v>1518.32</v>
      </c>
      <c r="F138" s="12">
        <f>ROUND(F137*0.05,2)</f>
        <v>60</v>
      </c>
      <c r="G138" s="8">
        <f t="shared" si="32"/>
        <v>91099.199999999997</v>
      </c>
    </row>
    <row r="139" spans="1:7" x14ac:dyDescent="0.25">
      <c r="A139" s="9" t="s">
        <v>13</v>
      </c>
      <c r="B139" s="68" t="s">
        <v>103</v>
      </c>
      <c r="C139" s="10" t="s">
        <v>222</v>
      </c>
      <c r="D139" s="11" t="s">
        <v>119</v>
      </c>
      <c r="E139" s="13">
        <v>269.39</v>
      </c>
      <c r="F139" s="12">
        <f>ROUND(F137*0.15,2)</f>
        <v>180</v>
      </c>
      <c r="G139" s="8">
        <f t="shared" si="32"/>
        <v>48490.2</v>
      </c>
    </row>
    <row r="140" spans="1:7" x14ac:dyDescent="0.25">
      <c r="A140" s="9" t="s">
        <v>13</v>
      </c>
      <c r="B140" s="68" t="s">
        <v>102</v>
      </c>
      <c r="C140" s="10" t="s">
        <v>190</v>
      </c>
      <c r="D140" s="11" t="s">
        <v>165</v>
      </c>
      <c r="E140" s="13">
        <v>2.91</v>
      </c>
      <c r="F140" s="12">
        <v>8760</v>
      </c>
      <c r="G140" s="8">
        <f t="shared" si="32"/>
        <v>25491.599999999999</v>
      </c>
    </row>
    <row r="141" spans="1:7" x14ac:dyDescent="0.25">
      <c r="A141" s="25"/>
      <c r="B141" s="25"/>
      <c r="C141" s="26" t="s">
        <v>92</v>
      </c>
      <c r="D141" s="27"/>
      <c r="E141" s="29"/>
      <c r="F141" s="28"/>
      <c r="G141" s="30">
        <f>SUM(G129:G140)</f>
        <v>437629.19</v>
      </c>
    </row>
    <row r="142" spans="1:7" x14ac:dyDescent="0.25">
      <c r="A142" s="18"/>
      <c r="B142" s="18"/>
      <c r="C142" s="19"/>
      <c r="D142" s="17"/>
      <c r="E142" s="17"/>
      <c r="F142" s="8"/>
      <c r="G142" s="8"/>
    </row>
    <row r="143" spans="1:7" x14ac:dyDescent="0.25">
      <c r="A143" s="18"/>
      <c r="B143" s="18"/>
      <c r="C143" s="19" t="s">
        <v>42</v>
      </c>
      <c r="D143" s="17"/>
      <c r="E143" s="17"/>
      <c r="F143" s="8"/>
      <c r="G143" s="8">
        <f>G23+G126+G141</f>
        <v>19564882.259999998</v>
      </c>
    </row>
    <row r="144" spans="1:7" x14ac:dyDescent="0.25">
      <c r="A144" s="18"/>
      <c r="B144" s="18"/>
      <c r="C144" s="19" t="s">
        <v>89</v>
      </c>
      <c r="D144" s="17"/>
      <c r="E144" s="20">
        <v>1.6500000000000001E-2</v>
      </c>
      <c r="F144" s="8"/>
      <c r="G144" s="8">
        <f>ROUND(G143*E144,2)</f>
        <v>322820.56</v>
      </c>
    </row>
    <row r="145" spans="1:7" x14ac:dyDescent="0.25">
      <c r="A145" s="18"/>
      <c r="B145" s="18"/>
      <c r="C145" s="19" t="s">
        <v>108</v>
      </c>
      <c r="D145" s="17"/>
      <c r="E145" s="20"/>
      <c r="F145" s="8"/>
      <c r="G145" s="8">
        <f>G143+G144</f>
        <v>19887702.819999997</v>
      </c>
    </row>
    <row r="146" spans="1:7" x14ac:dyDescent="0.25">
      <c r="A146" s="18"/>
      <c r="B146" s="18"/>
      <c r="C146" s="19" t="s">
        <v>10</v>
      </c>
      <c r="D146" s="17"/>
      <c r="E146" s="20">
        <v>0.24</v>
      </c>
      <c r="F146" s="8"/>
      <c r="G146" s="8">
        <f>TRUNC(G145*$E146,2)</f>
        <v>4773048.67</v>
      </c>
    </row>
    <row r="147" spans="1:7" x14ac:dyDescent="0.25">
      <c r="A147" s="18"/>
      <c r="B147" s="18"/>
      <c r="C147" s="19"/>
      <c r="D147" s="17"/>
      <c r="E147" s="20"/>
      <c r="F147" s="8"/>
      <c r="G147" s="8"/>
    </row>
    <row r="148" spans="1:7" x14ac:dyDescent="0.25">
      <c r="A148" s="21"/>
      <c r="B148" s="21"/>
      <c r="C148" s="22" t="s">
        <v>8</v>
      </c>
      <c r="D148" s="23"/>
      <c r="E148" s="23"/>
      <c r="F148" s="31"/>
      <c r="G148" s="24">
        <f>G145+G146</f>
        <v>24660751.489999995</v>
      </c>
    </row>
  </sheetData>
  <autoFilter ref="A9:E126" xr:uid="{00000000-0009-0000-0000-000005000000}"/>
  <mergeCells count="9">
    <mergeCell ref="A1:G1"/>
    <mergeCell ref="B8:B9"/>
    <mergeCell ref="A8:A9"/>
    <mergeCell ref="D8:D9"/>
    <mergeCell ref="C8:C9"/>
    <mergeCell ref="A4:G4"/>
    <mergeCell ref="A6:G6"/>
    <mergeCell ref="A2:G2"/>
    <mergeCell ref="A5:G5"/>
  </mergeCells>
  <phoneticPr fontId="0" type="noConversion"/>
  <printOptions horizontalCentered="1"/>
  <pageMargins left="0.39370078740157483" right="0.39370078740157483" top="0.39370078740157483" bottom="0.39370078740157483" header="0.39370078740157483" footer="0.23622047244094491"/>
  <pageSetup paperSize="9" scale="60" orientation="portrait" r:id="rId1"/>
  <headerFooter alignWithMargins="0">
    <oddFooter>&amp;R&amp;"Arial,Normal"&amp;10Página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C31"/>
  <sheetViews>
    <sheetView showGridLines="0" tabSelected="1" view="pageBreakPreview" zoomScaleNormal="100" zoomScaleSheetLayoutView="100" workbookViewId="0">
      <selection activeCell="B35" sqref="B35"/>
    </sheetView>
  </sheetViews>
  <sheetFormatPr defaultRowHeight="15.75" x14ac:dyDescent="0.25"/>
  <cols>
    <col min="2" max="2" width="36" bestFit="1" customWidth="1"/>
    <col min="3" max="3" width="10.5" bestFit="1" customWidth="1"/>
    <col min="4" max="4" width="10.625" customWidth="1"/>
    <col min="5" max="5" width="6.75" customWidth="1"/>
    <col min="6" max="6" width="10.625" customWidth="1"/>
    <col min="7" max="7" width="6.75" customWidth="1"/>
    <col min="8" max="8" width="10.625" customWidth="1"/>
    <col min="9" max="9" width="6.75" customWidth="1"/>
    <col min="10" max="10" width="10.625" customWidth="1"/>
    <col min="11" max="11" width="6.75" customWidth="1"/>
    <col min="12" max="12" width="10.625" customWidth="1"/>
    <col min="13" max="13" width="6.75" customWidth="1"/>
    <col min="14" max="14" width="10.625" customWidth="1"/>
    <col min="15" max="15" width="6.75" customWidth="1"/>
    <col min="16" max="16" width="10.625" customWidth="1"/>
    <col min="17" max="17" width="6.75" customWidth="1"/>
    <col min="18" max="18" width="10.625" customWidth="1"/>
    <col min="19" max="19" width="6.75" customWidth="1"/>
    <col min="20" max="20" width="9.5" bestFit="1" customWidth="1"/>
    <col min="21" max="21" width="6.75" customWidth="1"/>
    <col min="22" max="22" width="9.5" bestFit="1" customWidth="1"/>
    <col min="23" max="23" width="6.75" customWidth="1"/>
    <col min="24" max="24" width="9.5" bestFit="1" customWidth="1"/>
    <col min="25" max="25" width="6.75" customWidth="1"/>
    <col min="26" max="26" width="9.5" bestFit="1" customWidth="1"/>
    <col min="27" max="27" width="6.75" customWidth="1"/>
    <col min="28" max="28" width="9.5" bestFit="1" customWidth="1"/>
    <col min="29" max="29" width="6.75" customWidth="1"/>
    <col min="30" max="30" width="9.5" bestFit="1" customWidth="1"/>
    <col min="31" max="31" width="6.75" customWidth="1"/>
    <col min="32" max="32" width="9.5" bestFit="1" customWidth="1"/>
    <col min="33" max="33" width="6.75" customWidth="1"/>
    <col min="34" max="34" width="9.5" bestFit="1" customWidth="1"/>
    <col min="35" max="35" width="6.75" customWidth="1"/>
    <col min="36" max="36" width="9.5" bestFit="1" customWidth="1"/>
    <col min="37" max="37" width="6.75" customWidth="1"/>
    <col min="38" max="38" width="9.5" bestFit="1" customWidth="1"/>
    <col min="39" max="39" width="6.75" customWidth="1"/>
    <col min="40" max="40" width="9.5" bestFit="1" customWidth="1"/>
    <col min="41" max="41" width="6.75" customWidth="1"/>
    <col min="42" max="42" width="9.5" bestFit="1" customWidth="1"/>
    <col min="43" max="43" width="6.75" customWidth="1"/>
    <col min="44" max="44" width="9.5" bestFit="1" customWidth="1"/>
    <col min="45" max="45" width="6.75" customWidth="1"/>
    <col min="46" max="46" width="9.5" bestFit="1" customWidth="1"/>
    <col min="47" max="47" width="6.75" customWidth="1"/>
    <col min="48" max="48" width="9.5" bestFit="1" customWidth="1"/>
    <col min="49" max="49" width="6.75" customWidth="1"/>
    <col min="50" max="50" width="9.5" bestFit="1" customWidth="1"/>
    <col min="51" max="51" width="6.75" customWidth="1"/>
    <col min="52" max="52" width="10.25" bestFit="1" customWidth="1"/>
    <col min="53" max="53" width="6.75" customWidth="1"/>
    <col min="55" max="55" width="12.375" customWidth="1"/>
  </cols>
  <sheetData>
    <row r="1" spans="1:55" ht="23.25" x14ac:dyDescent="0.35">
      <c r="A1" s="38"/>
      <c r="B1" s="101" t="s">
        <v>25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</row>
    <row r="2" spans="1:55" ht="18" x14ac:dyDescent="0.25">
      <c r="A2" s="38"/>
      <c r="B2" s="102" t="str">
        <f>ORÇAMENTO!A2</f>
        <v>SECRETARIA DE PROJETOS ESPECIAIS, CONVÊNIOS E HABITAÇÃO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</row>
    <row r="3" spans="1:55" x14ac:dyDescent="0.25">
      <c r="A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</row>
    <row r="4" spans="1:55" x14ac:dyDescent="0.25">
      <c r="A4" s="38"/>
      <c r="B4" s="37"/>
    </row>
    <row r="5" spans="1:55" x14ac:dyDescent="0.25">
      <c r="A5" s="38"/>
      <c r="B5" s="99" t="str">
        <f>ORÇAMENTO!A4</f>
        <v>OBRA:  CONSTRUÇÃO DA NOVA REDE DE DRENAGEM DO CÓRREGO CADAVAL (ENTRE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38"/>
    </row>
    <row r="6" spans="1:55" ht="18.75" x14ac:dyDescent="0.3">
      <c r="A6" s="38"/>
      <c r="B6" s="110" t="str">
        <f>ORÇAMENTO!A5</f>
        <v>A RUA MONTE AZUL PAULISTA E RUA SERRA DOS CRISTAIS)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38"/>
    </row>
    <row r="7" spans="1:55" x14ac:dyDescent="0.25">
      <c r="A7" s="39"/>
      <c r="B7" s="39"/>
      <c r="C7" s="39"/>
      <c r="D7" s="40"/>
      <c r="E7" s="40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</row>
    <row r="8" spans="1:55" x14ac:dyDescent="0.25">
      <c r="A8" s="38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</row>
    <row r="9" spans="1:55" x14ac:dyDescent="0.25">
      <c r="A9" s="105" t="s">
        <v>31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</row>
    <row r="10" spans="1:55" x14ac:dyDescent="0.2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</row>
    <row r="11" spans="1:55" x14ac:dyDescent="0.25">
      <c r="A11" s="107" t="s">
        <v>32</v>
      </c>
      <c r="B11" s="107" t="s">
        <v>33</v>
      </c>
      <c r="C11" s="107" t="s">
        <v>34</v>
      </c>
      <c r="D11" s="103" t="s">
        <v>35</v>
      </c>
      <c r="E11" s="103"/>
      <c r="F11" s="103" t="s">
        <v>36</v>
      </c>
      <c r="G11" s="103"/>
      <c r="H11" s="103" t="s">
        <v>37</v>
      </c>
      <c r="I11" s="103"/>
      <c r="J11" s="103" t="s">
        <v>38</v>
      </c>
      <c r="K11" s="103"/>
      <c r="L11" s="103" t="s">
        <v>58</v>
      </c>
      <c r="M11" s="103"/>
      <c r="N11" s="103" t="s">
        <v>59</v>
      </c>
      <c r="O11" s="103"/>
      <c r="P11" s="103" t="s">
        <v>109</v>
      </c>
      <c r="Q11" s="103"/>
      <c r="R11" s="103" t="s">
        <v>110</v>
      </c>
      <c r="S11" s="103"/>
      <c r="T11" s="103" t="s">
        <v>128</v>
      </c>
      <c r="U11" s="103"/>
      <c r="V11" s="103" t="s">
        <v>129</v>
      </c>
      <c r="W11" s="103"/>
      <c r="X11" s="103" t="s">
        <v>130</v>
      </c>
      <c r="Y11" s="103"/>
      <c r="Z11" s="103" t="s">
        <v>131</v>
      </c>
      <c r="AA11" s="103"/>
      <c r="AB11" s="103" t="s">
        <v>132</v>
      </c>
      <c r="AC11" s="103"/>
      <c r="AD11" s="103" t="s">
        <v>133</v>
      </c>
      <c r="AE11" s="103"/>
      <c r="AF11" s="103" t="s">
        <v>134</v>
      </c>
      <c r="AG11" s="103"/>
      <c r="AH11" s="103" t="s">
        <v>135</v>
      </c>
      <c r="AI11" s="103"/>
      <c r="AJ11" s="103" t="s">
        <v>136</v>
      </c>
      <c r="AK11" s="103"/>
      <c r="AL11" s="103" t="s">
        <v>137</v>
      </c>
      <c r="AM11" s="103"/>
      <c r="AN11" s="103" t="s">
        <v>138</v>
      </c>
      <c r="AO11" s="103"/>
      <c r="AP11" s="103" t="s">
        <v>139</v>
      </c>
      <c r="AQ11" s="103"/>
      <c r="AR11" s="103" t="s">
        <v>140</v>
      </c>
      <c r="AS11" s="103"/>
      <c r="AT11" s="103" t="s">
        <v>141</v>
      </c>
      <c r="AU11" s="103"/>
      <c r="AV11" s="103" t="s">
        <v>142</v>
      </c>
      <c r="AW11" s="103"/>
      <c r="AX11" s="103" t="s">
        <v>143</v>
      </c>
      <c r="AY11" s="103"/>
      <c r="AZ11" s="108" t="s">
        <v>8</v>
      </c>
      <c r="BA11" s="109"/>
      <c r="BC11" s="62" t="s">
        <v>41</v>
      </c>
    </row>
    <row r="12" spans="1:55" x14ac:dyDescent="0.25">
      <c r="A12" s="107"/>
      <c r="B12" s="107"/>
      <c r="C12" s="107"/>
      <c r="D12" s="43" t="s">
        <v>30</v>
      </c>
      <c r="E12" s="43" t="s">
        <v>39</v>
      </c>
      <c r="F12" s="43" t="s">
        <v>30</v>
      </c>
      <c r="G12" s="43" t="s">
        <v>39</v>
      </c>
      <c r="H12" s="43" t="s">
        <v>30</v>
      </c>
      <c r="I12" s="43" t="s">
        <v>39</v>
      </c>
      <c r="J12" s="43" t="s">
        <v>30</v>
      </c>
      <c r="K12" s="43" t="s">
        <v>39</v>
      </c>
      <c r="L12" s="43" t="s">
        <v>30</v>
      </c>
      <c r="M12" s="43" t="s">
        <v>39</v>
      </c>
      <c r="N12" s="43" t="s">
        <v>30</v>
      </c>
      <c r="O12" s="43" t="s">
        <v>39</v>
      </c>
      <c r="P12" s="43" t="s">
        <v>30</v>
      </c>
      <c r="Q12" s="43" t="s">
        <v>39</v>
      </c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 t="s">
        <v>30</v>
      </c>
      <c r="BA12" s="43" t="s">
        <v>39</v>
      </c>
      <c r="BC12" s="63">
        <f>ORÇAMENTO!E146</f>
        <v>0.24</v>
      </c>
    </row>
    <row r="13" spans="1:55" x14ac:dyDescent="0.25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C13" s="44"/>
    </row>
    <row r="14" spans="1:55" x14ac:dyDescent="0.25">
      <c r="A14" s="45">
        <f>ORÇAMENTO!B10</f>
        <v>1</v>
      </c>
      <c r="B14" s="61" t="str">
        <f>ORÇAMENTO!C10</f>
        <v>SERVIÇOS PRELIMINARES</v>
      </c>
      <c r="C14" s="47">
        <f>ORÇAMENTO!G23</f>
        <v>104781.29</v>
      </c>
      <c r="D14" s="48">
        <f>ROUND(C14*E14,3)</f>
        <v>104781.29</v>
      </c>
      <c r="E14" s="49">
        <v>1</v>
      </c>
      <c r="F14" s="48"/>
      <c r="G14" s="49"/>
      <c r="H14" s="48"/>
      <c r="I14" s="49"/>
      <c r="J14" s="48"/>
      <c r="K14" s="49"/>
      <c r="L14" s="48"/>
      <c r="M14" s="49"/>
      <c r="N14" s="48"/>
      <c r="O14" s="49"/>
      <c r="P14" s="48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8">
        <f>D14+F14+H14+J14+L14+N14+P14+R14</f>
        <v>104781.29</v>
      </c>
      <c r="BA14" s="50">
        <f>+E14+G14+I14+K14+M14+O14+Q14+S14</f>
        <v>1</v>
      </c>
      <c r="BC14" s="64">
        <f>+C14-AZ14</f>
        <v>0</v>
      </c>
    </row>
    <row r="15" spans="1:55" x14ac:dyDescent="0.25">
      <c r="A15" s="51"/>
      <c r="B15" s="46"/>
      <c r="C15" s="52"/>
      <c r="D15" s="53"/>
      <c r="E15" s="53"/>
      <c r="F15" s="48"/>
      <c r="G15" s="49"/>
      <c r="H15" s="48"/>
      <c r="I15" s="49"/>
      <c r="J15" s="48"/>
      <c r="K15" s="49"/>
      <c r="L15" s="48"/>
      <c r="M15" s="49"/>
      <c r="N15" s="48"/>
      <c r="O15" s="49"/>
      <c r="P15" s="48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8"/>
      <c r="BA15" s="50"/>
      <c r="BC15" s="44"/>
    </row>
    <row r="16" spans="1:55" x14ac:dyDescent="0.25">
      <c r="A16" s="45" t="str">
        <f>ORÇAMENTO!B24</f>
        <v>2</v>
      </c>
      <c r="B16" s="61" t="str">
        <f>ORÇAMENTO!C24</f>
        <v>SISTEMA DE DRENAGEM</v>
      </c>
      <c r="C16" s="47">
        <f>ORÇAMENTO!G126</f>
        <v>19022471.779999997</v>
      </c>
      <c r="D16" s="48">
        <f>ROUND($C16*E16,4)</f>
        <v>760898.87120000005</v>
      </c>
      <c r="E16" s="49">
        <v>0.04</v>
      </c>
      <c r="F16" s="48">
        <f>ROUND($C16*G16,4)</f>
        <v>760898.87120000005</v>
      </c>
      <c r="G16" s="49">
        <v>0.04</v>
      </c>
      <c r="H16" s="48">
        <f>ROUND($C16*I16,4)</f>
        <v>760898.87120000005</v>
      </c>
      <c r="I16" s="49">
        <v>0.04</v>
      </c>
      <c r="J16" s="48">
        <f>ROUND($C16*K16,4)</f>
        <v>760898.87120000005</v>
      </c>
      <c r="K16" s="49">
        <v>0.04</v>
      </c>
      <c r="L16" s="48">
        <f>ROUND($C16*M16,4)</f>
        <v>760898.87120000005</v>
      </c>
      <c r="M16" s="49">
        <v>0.04</v>
      </c>
      <c r="N16" s="48">
        <f>ROUND($C16*O16,4)</f>
        <v>760898.87120000005</v>
      </c>
      <c r="O16" s="49">
        <v>0.04</v>
      </c>
      <c r="P16" s="48">
        <f>ROUND($C16*Q16,4)</f>
        <v>760898.87120000005</v>
      </c>
      <c r="Q16" s="49">
        <v>0.04</v>
      </c>
      <c r="R16" s="48">
        <f>ROUND($C16*S16,4)</f>
        <v>760898.87120000005</v>
      </c>
      <c r="S16" s="49">
        <v>0.04</v>
      </c>
      <c r="T16" s="48">
        <f>ROUND($C16*U16,4)</f>
        <v>760898.87120000005</v>
      </c>
      <c r="U16" s="49">
        <v>0.04</v>
      </c>
      <c r="V16" s="48">
        <f>ROUND($C16*W16,4)</f>
        <v>760898.87120000005</v>
      </c>
      <c r="W16" s="49">
        <v>0.04</v>
      </c>
      <c r="X16" s="48">
        <f>ROUND($C16*Y16,4)</f>
        <v>760898.87120000005</v>
      </c>
      <c r="Y16" s="49">
        <v>0.04</v>
      </c>
      <c r="Z16" s="48">
        <f>ROUND($C16*AA16,4)</f>
        <v>760898.87120000005</v>
      </c>
      <c r="AA16" s="49">
        <v>0.04</v>
      </c>
      <c r="AB16" s="48">
        <f>ROUND($C16*AC16,4)</f>
        <v>760898.87120000005</v>
      </c>
      <c r="AC16" s="49">
        <v>0.04</v>
      </c>
      <c r="AD16" s="48">
        <f>ROUND($C16*AE16,4)</f>
        <v>760898.87120000005</v>
      </c>
      <c r="AE16" s="49">
        <v>0.04</v>
      </c>
      <c r="AF16" s="48">
        <f>ROUND($C16*AG16,4)</f>
        <v>760898.87120000005</v>
      </c>
      <c r="AG16" s="49">
        <v>0.04</v>
      </c>
      <c r="AH16" s="48">
        <f>ROUND($C16*AI16,4)</f>
        <v>760898.87120000005</v>
      </c>
      <c r="AI16" s="49">
        <v>0.04</v>
      </c>
      <c r="AJ16" s="48">
        <f>ROUND($C16*AK16,4)</f>
        <v>760898.87120000005</v>
      </c>
      <c r="AK16" s="49">
        <v>0.04</v>
      </c>
      <c r="AL16" s="48">
        <f>ROUND($C16*AM16,4)</f>
        <v>760898.87120000005</v>
      </c>
      <c r="AM16" s="49">
        <v>0.04</v>
      </c>
      <c r="AN16" s="48">
        <f>ROUND($C16*AO16,4)</f>
        <v>760898.87120000005</v>
      </c>
      <c r="AO16" s="49">
        <v>0.04</v>
      </c>
      <c r="AP16" s="48">
        <f>ROUND($C16*AQ16,4)</f>
        <v>760898.87120000005</v>
      </c>
      <c r="AQ16" s="49">
        <v>0.04</v>
      </c>
      <c r="AR16" s="48">
        <f>ROUND($C16*AS16,4)</f>
        <v>951123.58900000004</v>
      </c>
      <c r="AS16" s="49">
        <v>0.05</v>
      </c>
      <c r="AT16" s="48">
        <f>ROUND($C16*AU16,4)</f>
        <v>951123.58900000004</v>
      </c>
      <c r="AU16" s="49">
        <v>0.05</v>
      </c>
      <c r="AV16" s="48">
        <f>ROUND($C16*AW16,4)</f>
        <v>951123.58900000004</v>
      </c>
      <c r="AW16" s="49">
        <v>0.05</v>
      </c>
      <c r="AX16" s="48">
        <f>ROUND($C16*AY16,4)</f>
        <v>951123.58900000004</v>
      </c>
      <c r="AY16" s="49">
        <v>0.05</v>
      </c>
      <c r="AZ16" s="48">
        <f>D16+F16+H16+J16+L16+N16+P16+R16+T16+V16+X16+Z16+AB16+AD16+AF16+AH16+AJ16+AL16+AN16+AP16+AR16+AT16+AV16+AX16</f>
        <v>19022471.780000012</v>
      </c>
      <c r="BA16" s="50">
        <f>+E16+G16+I16+K16+M16+O16+Q16+S16+U16+W16+Y16+AA16+AC16+AE16+AG16+AI16+AK16+AM16+AO16+AQ16+AS16+AU16+AW16+AY16</f>
        <v>1.0000000000000002</v>
      </c>
      <c r="BC16" s="64">
        <f>+C16-AZ16</f>
        <v>0</v>
      </c>
    </row>
    <row r="17" spans="1:55" x14ac:dyDescent="0.25">
      <c r="A17" s="51"/>
      <c r="B17" s="46"/>
      <c r="C17" s="52"/>
      <c r="D17" s="55"/>
      <c r="E17" s="54"/>
      <c r="F17" s="53"/>
      <c r="G17" s="54"/>
      <c r="H17" s="53"/>
      <c r="I17" s="54"/>
      <c r="J17" s="53"/>
      <c r="K17" s="54"/>
      <c r="L17" s="53"/>
      <c r="M17" s="54"/>
      <c r="N17" s="53"/>
      <c r="O17" s="54"/>
      <c r="P17" s="53"/>
      <c r="Q17" s="54"/>
      <c r="R17" s="53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48"/>
      <c r="BA17" s="50"/>
      <c r="BC17" s="44"/>
    </row>
    <row r="18" spans="1:55" x14ac:dyDescent="0.25">
      <c r="A18" s="56">
        <v>3</v>
      </c>
      <c r="B18" s="61" t="str">
        <f>ORÇAMENTO!C128</f>
        <v>RECOMPOSIÇÃO DE PAVIMENTO POR ABERTURA DE VALAS</v>
      </c>
      <c r="C18" s="47">
        <f>ORÇAMENTO!G141</f>
        <v>437629.19</v>
      </c>
      <c r="D18" s="48">
        <f>ROUND($C18*E18,3)</f>
        <v>17505.168000000001</v>
      </c>
      <c r="E18" s="49">
        <v>0.04</v>
      </c>
      <c r="F18" s="48">
        <f>ROUND($C18*G18,3)</f>
        <v>17505.168000000001</v>
      </c>
      <c r="G18" s="49">
        <v>0.04</v>
      </c>
      <c r="H18" s="48">
        <f>ROUND($C18*I18,3)</f>
        <v>17505.168000000001</v>
      </c>
      <c r="I18" s="49">
        <v>0.04</v>
      </c>
      <c r="J18" s="48">
        <f>ROUND($C18*K18,3)</f>
        <v>17505.168000000001</v>
      </c>
      <c r="K18" s="49">
        <v>0.04</v>
      </c>
      <c r="L18" s="48">
        <f>ROUND($C18*M18,3)</f>
        <v>17505.168000000001</v>
      </c>
      <c r="M18" s="49">
        <v>0.04</v>
      </c>
      <c r="N18" s="48">
        <f>ROUND($C18*O18,3)</f>
        <v>17505.168000000001</v>
      </c>
      <c r="O18" s="49">
        <v>0.04</v>
      </c>
      <c r="P18" s="48">
        <f>ROUND($C18*Q18,3)</f>
        <v>17505.168000000001</v>
      </c>
      <c r="Q18" s="49">
        <v>0.04</v>
      </c>
      <c r="R18" s="48">
        <f>ROUND($C18*S18,3)</f>
        <v>17505.168000000001</v>
      </c>
      <c r="S18" s="49">
        <v>0.04</v>
      </c>
      <c r="T18" s="48">
        <f>ROUND($C18*U18,3)</f>
        <v>17505.168000000001</v>
      </c>
      <c r="U18" s="49">
        <v>0.04</v>
      </c>
      <c r="V18" s="48">
        <f>ROUND($C18*W18,3)</f>
        <v>17505.168000000001</v>
      </c>
      <c r="W18" s="49">
        <v>0.04</v>
      </c>
      <c r="X18" s="48">
        <f>ROUND($C18*Y18,3)</f>
        <v>17505.168000000001</v>
      </c>
      <c r="Y18" s="49">
        <v>0.04</v>
      </c>
      <c r="Z18" s="48">
        <f>ROUND($C18*AA18,3)</f>
        <v>17505.168000000001</v>
      </c>
      <c r="AA18" s="49">
        <v>0.04</v>
      </c>
      <c r="AB18" s="48">
        <f>ROUND($C18*AC18,3)</f>
        <v>17505.168000000001</v>
      </c>
      <c r="AC18" s="49">
        <v>0.04</v>
      </c>
      <c r="AD18" s="48">
        <f>ROUND($C18*AE18,3)</f>
        <v>17505.168000000001</v>
      </c>
      <c r="AE18" s="49">
        <v>0.04</v>
      </c>
      <c r="AF18" s="48">
        <f>ROUND($C18*AG18,3)</f>
        <v>17505.168000000001</v>
      </c>
      <c r="AG18" s="49">
        <v>0.04</v>
      </c>
      <c r="AH18" s="48">
        <f>ROUND($C18*AI18,3)</f>
        <v>17505.168000000001</v>
      </c>
      <c r="AI18" s="49">
        <v>0.04</v>
      </c>
      <c r="AJ18" s="48">
        <f>ROUND($C18*AK18,3)</f>
        <v>17505.168000000001</v>
      </c>
      <c r="AK18" s="49">
        <v>0.04</v>
      </c>
      <c r="AL18" s="48">
        <f>ROUND($C18*AM18,3)</f>
        <v>17505.168000000001</v>
      </c>
      <c r="AM18" s="49">
        <v>0.04</v>
      </c>
      <c r="AN18" s="48">
        <f>ROUND($C18*AO18,3)</f>
        <v>17505.168000000001</v>
      </c>
      <c r="AO18" s="49">
        <v>0.04</v>
      </c>
      <c r="AP18" s="48">
        <f>ROUND($C18*AQ18,3)</f>
        <v>17505.168000000001</v>
      </c>
      <c r="AQ18" s="49">
        <v>0.04</v>
      </c>
      <c r="AR18" s="48">
        <f>ROUND($C18*AS18,3)</f>
        <v>21881.46</v>
      </c>
      <c r="AS18" s="49">
        <v>0.05</v>
      </c>
      <c r="AT18" s="48">
        <f>ROUND($C18*AU18,3)</f>
        <v>21881.46</v>
      </c>
      <c r="AU18" s="49">
        <v>0.05</v>
      </c>
      <c r="AV18" s="48">
        <f>ROUND($C18*AW18,3)</f>
        <v>21881.46</v>
      </c>
      <c r="AW18" s="49">
        <v>0.05</v>
      </c>
      <c r="AX18" s="48">
        <f>ROUND($C18*AY18,3)</f>
        <v>21881.46</v>
      </c>
      <c r="AY18" s="49">
        <v>0.05</v>
      </c>
      <c r="AZ18" s="48">
        <f>D18+F18+H18+J18+L18+N18+P18+R18+T18+V18+X18+Z18+AB18+AD18+AF18+AH18+AJ18+AL18+AN18+AP18+AR18+AT18+AV18+AX18-0.01</f>
        <v>437629.19000000012</v>
      </c>
      <c r="BA18" s="50">
        <f>+E18+G18+I18+K18+M18+O18+Q18+S18+U18+W18+Y18+AA18+AC18+AE18+AG18+AI18+AK18+AM18+AO18+AQ18+AS18+AU18+AW18+AY18</f>
        <v>1.0000000000000002</v>
      </c>
      <c r="BC18" s="64">
        <f>+C18-AZ18</f>
        <v>0</v>
      </c>
    </row>
    <row r="19" spans="1:55" x14ac:dyDescent="0.25">
      <c r="A19" s="45"/>
      <c r="B19" s="46"/>
      <c r="C19" s="57"/>
      <c r="D19" s="55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48"/>
      <c r="BA19" s="50"/>
      <c r="BC19" s="44"/>
    </row>
    <row r="20" spans="1:55" x14ac:dyDescent="0.25">
      <c r="A20" s="74" t="s">
        <v>111</v>
      </c>
      <c r="B20" s="71" t="str">
        <f>ORÇAMENTO!C144</f>
        <v>PROJETO EXECUTIVO - DETALHAMENTO</v>
      </c>
      <c r="C20" s="47">
        <f>ORÇAMENTO!G144</f>
        <v>322820.56</v>
      </c>
      <c r="D20" s="48">
        <f>ROUND(SUM(D14:D18)*0.0165,2)</f>
        <v>14572.56</v>
      </c>
      <c r="E20" s="49">
        <f>TRUNC(D20/$C20,5)</f>
        <v>4.514E-2</v>
      </c>
      <c r="F20" s="48">
        <f>ROUND(SUM(F14:F18)*0.0165,2)</f>
        <v>12843.67</v>
      </c>
      <c r="G20" s="49">
        <f>TRUNC(F20/$C20,5)</f>
        <v>3.9780000000000003E-2</v>
      </c>
      <c r="H20" s="48">
        <f>ROUND(SUM(H14:H18)*0.0165,2)</f>
        <v>12843.67</v>
      </c>
      <c r="I20" s="49">
        <f>TRUNC(H20/$C20,5)</f>
        <v>3.9780000000000003E-2</v>
      </c>
      <c r="J20" s="48">
        <f>ROUND(SUM(J14:J18)*0.0165,2)</f>
        <v>12843.67</v>
      </c>
      <c r="K20" s="49">
        <f>TRUNC(J20/$C20,5)</f>
        <v>3.9780000000000003E-2</v>
      </c>
      <c r="L20" s="48">
        <f>ROUND(SUM(L14:L18)*0.0165,2)</f>
        <v>12843.67</v>
      </c>
      <c r="M20" s="49">
        <f>TRUNC(L20/$C20,5)</f>
        <v>3.9780000000000003E-2</v>
      </c>
      <c r="N20" s="48">
        <f>ROUND(SUM(N14:N18)*0.0165,2)</f>
        <v>12843.67</v>
      </c>
      <c r="O20" s="49">
        <f>TRUNC(N20/$C20,5)</f>
        <v>3.9780000000000003E-2</v>
      </c>
      <c r="P20" s="48">
        <f>ROUND(SUM(P14:P18)*0.0165,2)</f>
        <v>12843.67</v>
      </c>
      <c r="Q20" s="49">
        <f>TRUNC(P20/$C20,6)</f>
        <v>3.9785000000000001E-2</v>
      </c>
      <c r="R20" s="48">
        <f>ROUND(SUM(R14:R18)*0.0165,2)</f>
        <v>12843.67</v>
      </c>
      <c r="S20" s="49">
        <f>TRUNC(R20/$C20,6)</f>
        <v>3.9785000000000001E-2</v>
      </c>
      <c r="T20" s="48">
        <f>ROUND(SUM(T14:T18)*0.0165,2)</f>
        <v>12843.67</v>
      </c>
      <c r="U20" s="49">
        <f>TRUNC(T20/$C20,6)</f>
        <v>3.9785000000000001E-2</v>
      </c>
      <c r="V20" s="48">
        <f>ROUND(SUM(V14:V18)*0.0165,2)</f>
        <v>12843.67</v>
      </c>
      <c r="W20" s="49">
        <f>TRUNC(V20/$C20,6)</f>
        <v>3.9785000000000001E-2</v>
      </c>
      <c r="X20" s="48">
        <f>ROUND(SUM(X14:X18)*0.0165,2)</f>
        <v>12843.67</v>
      </c>
      <c r="Y20" s="49">
        <f>TRUNC(X20/$C20,6)</f>
        <v>3.9785000000000001E-2</v>
      </c>
      <c r="Z20" s="48">
        <f>ROUND(SUM(Z14:Z18)*0.0165,2)</f>
        <v>12843.67</v>
      </c>
      <c r="AA20" s="49">
        <f>TRUNC(Z20/$C20,6)</f>
        <v>3.9785000000000001E-2</v>
      </c>
      <c r="AB20" s="48">
        <f>ROUND(SUM(AB14:AB18)*0.0165,2)</f>
        <v>12843.67</v>
      </c>
      <c r="AC20" s="49">
        <f>TRUNC(AB20/$C20,6)</f>
        <v>3.9785000000000001E-2</v>
      </c>
      <c r="AD20" s="48">
        <f>ROUND(SUM(AD14:AD18)*0.0165,2)</f>
        <v>12843.67</v>
      </c>
      <c r="AE20" s="49">
        <f>TRUNC(AD20/$C20,6)</f>
        <v>3.9785000000000001E-2</v>
      </c>
      <c r="AF20" s="48">
        <f>ROUND(SUM(AF14:AF18)*0.0165,2)</f>
        <v>12843.67</v>
      </c>
      <c r="AG20" s="49">
        <f>TRUNC(AF20/$C20,6)</f>
        <v>3.9785000000000001E-2</v>
      </c>
      <c r="AH20" s="48">
        <f>ROUND(SUM(AH14:AH18)*0.0165,2)</f>
        <v>12843.67</v>
      </c>
      <c r="AI20" s="49">
        <f>TRUNC(AH20/$C20,6)</f>
        <v>3.9785000000000001E-2</v>
      </c>
      <c r="AJ20" s="48">
        <f>ROUND(SUM(AJ14:AJ18)*0.0165,2)</f>
        <v>12843.67</v>
      </c>
      <c r="AK20" s="49">
        <f>TRUNC(AJ20/$C20,6)</f>
        <v>3.9785000000000001E-2</v>
      </c>
      <c r="AL20" s="48">
        <f>ROUND(SUM(AL14:AL18)*0.0165,2)</f>
        <v>12843.67</v>
      </c>
      <c r="AM20" s="49">
        <f>TRUNC(AL20/$C20,6)</f>
        <v>3.9785000000000001E-2</v>
      </c>
      <c r="AN20" s="48">
        <f>ROUND(SUM(AN14:AN18)*0.0165,2)</f>
        <v>12843.67</v>
      </c>
      <c r="AO20" s="49">
        <f>TRUNC(AN20/$C20,6)</f>
        <v>3.9785000000000001E-2</v>
      </c>
      <c r="AP20" s="48">
        <f>ROUND(SUM(AP14:AP18)*0.0165,2)</f>
        <v>12843.67</v>
      </c>
      <c r="AQ20" s="49">
        <f>TRUNC(AP20/$C20,6)</f>
        <v>3.9785000000000001E-2</v>
      </c>
      <c r="AR20" s="48">
        <f>ROUND(SUM(AR14:AR18)*0.0165,2)</f>
        <v>16054.58</v>
      </c>
      <c r="AS20" s="49">
        <f>TRUNC(AR20/$C20,6)</f>
        <v>4.9731999999999998E-2</v>
      </c>
      <c r="AT20" s="48">
        <f>ROUND(SUM(AT14:AT18)*0.0165,2)</f>
        <v>16054.58</v>
      </c>
      <c r="AU20" s="49">
        <f>TRUNC(AT20/$C20,6)</f>
        <v>4.9731999999999998E-2</v>
      </c>
      <c r="AV20" s="48">
        <f>ROUND(SUM(AV14:AV18)*0.0165,2)</f>
        <v>16054.58</v>
      </c>
      <c r="AW20" s="49">
        <f>TRUNC(AV20/$C20,6)</f>
        <v>4.9731999999999998E-2</v>
      </c>
      <c r="AX20" s="48">
        <f>ROUND(SUM(AX14:AX18)*0.0165,2)</f>
        <v>16054.58</v>
      </c>
      <c r="AY20" s="49">
        <f>TRUNC(AX20/$C20,6)</f>
        <v>4.9731999999999998E-2</v>
      </c>
      <c r="AZ20" s="48">
        <f>D20+F20+H20+J20+L20+N20+P20+R20+T20+V20+X20+Z20+AB20+AD20+AF20+AH20+AJ20+AL20+AN20+AP20+AR20+AT20+AV20+AX20+0.08</f>
        <v>322820.69000000018</v>
      </c>
      <c r="BA20" s="50">
        <f>+E20+G20+I20+K20+M20+O20+Q20+S20+U20+W20+Y20+AA20+AC20+AE20+AG20+AI20+AK20+AM20+AO20+AQ20+AS20+AU20+AW20+AY20</f>
        <v>0.99995799999999979</v>
      </c>
      <c r="BC20" s="64">
        <f>+C20-AZ20</f>
        <v>-0.1300000001792796</v>
      </c>
    </row>
    <row r="21" spans="1:55" x14ac:dyDescent="0.25">
      <c r="A21" s="45"/>
      <c r="B21" s="46"/>
      <c r="C21" s="57"/>
      <c r="D21" s="55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48"/>
      <c r="BA21" s="50"/>
      <c r="BC21" s="44"/>
    </row>
    <row r="22" spans="1:55" x14ac:dyDescent="0.25">
      <c r="A22" s="73" t="s">
        <v>112</v>
      </c>
      <c r="B22" s="46" t="s">
        <v>40</v>
      </c>
      <c r="C22" s="47">
        <f>ORÇAMENTO!G146</f>
        <v>4773048.67</v>
      </c>
      <c r="D22" s="48">
        <f>ROUND(SUM(D13:D21)*$BC$12,5)</f>
        <v>215461.89340999999</v>
      </c>
      <c r="E22" s="49">
        <f>TRUNC(D22/$C22,5)</f>
        <v>4.514E-2</v>
      </c>
      <c r="F22" s="48">
        <f>ROUND(SUM(F13:F21)*$BC$12,5)</f>
        <v>189899.45021000001</v>
      </c>
      <c r="G22" s="49">
        <f>TRUNC(F22/$C22,5)</f>
        <v>3.9780000000000003E-2</v>
      </c>
      <c r="H22" s="48">
        <f>ROUND(SUM(H13:H21)*$BC$12,5)</f>
        <v>189899.45021000001</v>
      </c>
      <c r="I22" s="49">
        <f>TRUNC(H22/$C22,5)</f>
        <v>3.9780000000000003E-2</v>
      </c>
      <c r="J22" s="48">
        <f>ROUND(SUM(J13:J21)*$BC$12,5)</f>
        <v>189899.45021000001</v>
      </c>
      <c r="K22" s="49">
        <f>TRUNC(J22/$C22,5)</f>
        <v>3.9780000000000003E-2</v>
      </c>
      <c r="L22" s="48">
        <f>ROUND(SUM(L13:L21)*$BC$12,5)</f>
        <v>189899.45021000001</v>
      </c>
      <c r="M22" s="49">
        <f>TRUNC(L22/$C22,5)</f>
        <v>3.9780000000000003E-2</v>
      </c>
      <c r="N22" s="48">
        <f>ROUND(SUM(N13:N21)*$BC$12,5)</f>
        <v>189899.45021000001</v>
      </c>
      <c r="O22" s="49">
        <f>TRUNC(N22/$C22,5)</f>
        <v>3.9780000000000003E-2</v>
      </c>
      <c r="P22" s="48">
        <f>ROUND(SUM(P13:P21)*$BC$12,5)</f>
        <v>189899.45021000001</v>
      </c>
      <c r="Q22" s="49">
        <f>TRUNC(P22/$C22,6)</f>
        <v>3.9785000000000001E-2</v>
      </c>
      <c r="R22" s="48">
        <f>ROUND(SUM(R13:R21)*$BC$12,5)</f>
        <v>189899.45021000001</v>
      </c>
      <c r="S22" s="49">
        <f>TRUNC(R22/$C22,6)</f>
        <v>3.9785000000000001E-2</v>
      </c>
      <c r="T22" s="48">
        <f>ROUND(SUM(T13:T21)*$BC$12,5)</f>
        <v>189899.45021000001</v>
      </c>
      <c r="U22" s="49">
        <f>TRUNC(T22/$C22,6)</f>
        <v>3.9785000000000001E-2</v>
      </c>
      <c r="V22" s="48">
        <f>ROUND(SUM(V13:V21)*$BC$12,5)</f>
        <v>189899.45021000001</v>
      </c>
      <c r="W22" s="49">
        <f>TRUNC(V22/$C22,6)</f>
        <v>3.9785000000000001E-2</v>
      </c>
      <c r="X22" s="48">
        <f>ROUND(SUM(X13:X21)*$BC$12,5)</f>
        <v>189899.45021000001</v>
      </c>
      <c r="Y22" s="49">
        <f>TRUNC(X22/$C22,6)</f>
        <v>3.9785000000000001E-2</v>
      </c>
      <c r="Z22" s="48">
        <f>ROUND(SUM(Z13:Z21)*$BC$12,5)</f>
        <v>189899.45021000001</v>
      </c>
      <c r="AA22" s="49">
        <f>TRUNC(Z22/$C22,6)</f>
        <v>3.9785000000000001E-2</v>
      </c>
      <c r="AB22" s="48">
        <f>ROUND(SUM(AB13:AB21)*$BC$12,5)</f>
        <v>189899.45021000001</v>
      </c>
      <c r="AC22" s="49">
        <f>TRUNC(AB22/$C22,6)</f>
        <v>3.9785000000000001E-2</v>
      </c>
      <c r="AD22" s="48">
        <f>ROUND(SUM(AD13:AD21)*$BC$12,5)</f>
        <v>189899.45021000001</v>
      </c>
      <c r="AE22" s="49">
        <f>TRUNC(AD22/$C22,6)</f>
        <v>3.9785000000000001E-2</v>
      </c>
      <c r="AF22" s="48">
        <f>ROUND(SUM(AF13:AF21)*$BC$12,5)</f>
        <v>189899.45021000001</v>
      </c>
      <c r="AG22" s="49">
        <f>TRUNC(AF22/$C22,6)</f>
        <v>3.9785000000000001E-2</v>
      </c>
      <c r="AH22" s="48">
        <f>ROUND(SUM(AH13:AH21)*$BC$12,5)</f>
        <v>189899.45021000001</v>
      </c>
      <c r="AI22" s="49">
        <f>TRUNC(AH22/$C22,6)</f>
        <v>3.9785000000000001E-2</v>
      </c>
      <c r="AJ22" s="48">
        <f>ROUND(SUM(AJ13:AJ21)*$BC$12,5)</f>
        <v>189899.45021000001</v>
      </c>
      <c r="AK22" s="49">
        <f>TRUNC(AJ22/$C22,6)</f>
        <v>3.9785000000000001E-2</v>
      </c>
      <c r="AL22" s="48">
        <f>ROUND(SUM(AL13:AL21)*$BC$12,5)</f>
        <v>189899.45021000001</v>
      </c>
      <c r="AM22" s="49">
        <f>TRUNC(AL22/$C22,6)</f>
        <v>3.9785000000000001E-2</v>
      </c>
      <c r="AN22" s="48">
        <f>ROUND(SUM(AN13:AN21)*$BC$12,5)</f>
        <v>189899.45021000001</v>
      </c>
      <c r="AO22" s="49">
        <f>TRUNC(AN22/$C22,6)</f>
        <v>3.9785000000000001E-2</v>
      </c>
      <c r="AP22" s="48">
        <f>ROUND(SUM(AP13:AP21)*$BC$12,5)</f>
        <v>189899.45021000001</v>
      </c>
      <c r="AQ22" s="49">
        <f>TRUNC(AP22/$C22,6)</f>
        <v>3.9785000000000001E-2</v>
      </c>
      <c r="AR22" s="48">
        <f>ROUND(SUM(AR13:AR21)*$BC$12,5)</f>
        <v>237374.31096</v>
      </c>
      <c r="AS22" s="49">
        <f>TRUNC(AR22/$C22,6)</f>
        <v>4.9731999999999998E-2</v>
      </c>
      <c r="AT22" s="48">
        <f>ROUND(SUM(AT13:AT21)*$BC$12,5)</f>
        <v>237374.31096</v>
      </c>
      <c r="AU22" s="49">
        <f>TRUNC(AT22/$C22,6)</f>
        <v>4.9731999999999998E-2</v>
      </c>
      <c r="AV22" s="48">
        <f>ROUND(SUM(AV13:AV21)*$BC$12,5)</f>
        <v>237374.31096</v>
      </c>
      <c r="AW22" s="49">
        <f>TRUNC(AV22/$C22,6)</f>
        <v>4.9731999999999998E-2</v>
      </c>
      <c r="AX22" s="48">
        <f>ROUND(SUM(AX13:AX21)*$BC$12,5)</f>
        <v>237374.31096</v>
      </c>
      <c r="AY22" s="49">
        <f>TRUNC(AX22/$C22,6)</f>
        <v>4.9731999999999998E-2</v>
      </c>
      <c r="AZ22" s="48">
        <f>D22+F22+H22+J22+L22+N22+P22+R22+T22+V22+X22+Z22+AB22+AD22+AF22+AH22+AJ22+AL22+AN22+AP22+AR22+AT22+AV22+AX22+0.03</f>
        <v>4773048.7212399999</v>
      </c>
      <c r="BA22" s="50">
        <f>+E22+G22+I22+K22+M22+O22+Q22+S22+U22+W22+Y22+AA22+AC22+AE22+AG22+AI22+AK22+AM22+AO22+AQ22+AS22+AU22+AW22+AY22</f>
        <v>0.99995799999999979</v>
      </c>
      <c r="BC22" s="64">
        <f>+C22-AZ22</f>
        <v>-5.1239999942481518E-2</v>
      </c>
    </row>
    <row r="23" spans="1:55" x14ac:dyDescent="0.25">
      <c r="A23" s="45"/>
      <c r="B23" s="46"/>
      <c r="C23" s="57"/>
      <c r="D23" s="55"/>
      <c r="E23" s="58"/>
      <c r="F23" s="55"/>
      <c r="G23" s="58"/>
      <c r="H23" s="55"/>
      <c r="I23" s="58"/>
      <c r="J23" s="55"/>
      <c r="K23" s="58"/>
      <c r="L23" s="55"/>
      <c r="M23" s="58"/>
      <c r="N23" s="55"/>
      <c r="O23" s="58"/>
      <c r="P23" s="55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48"/>
      <c r="BA23" s="49"/>
      <c r="BC23" s="44"/>
    </row>
    <row r="24" spans="1:55" x14ac:dyDescent="0.25">
      <c r="A24" s="44"/>
      <c r="B24" s="46" t="s">
        <v>30</v>
      </c>
      <c r="C24" s="59">
        <f>SUM(C14:C22)</f>
        <v>24660751.489999995</v>
      </c>
      <c r="D24" s="59">
        <f>SUM(D14:D22)</f>
        <v>1113219.7826100001</v>
      </c>
      <c r="E24" s="49">
        <f>D24/$C$24</f>
        <v>4.51413568261054E-2</v>
      </c>
      <c r="F24" s="59">
        <f>SUM(F14:F22)</f>
        <v>981147.15941000008</v>
      </c>
      <c r="G24" s="49">
        <f>F24/$C$24</f>
        <v>3.9785776999044738E-2</v>
      </c>
      <c r="H24" s="59">
        <f>SUM(H14:H22)</f>
        <v>981147.15941000008</v>
      </c>
      <c r="I24" s="49">
        <f>H24/$C$24</f>
        <v>3.9785776999044738E-2</v>
      </c>
      <c r="J24" s="59">
        <f>SUM(J14:J22)</f>
        <v>981147.15941000008</v>
      </c>
      <c r="K24" s="49">
        <f>J24/$C$24</f>
        <v>3.9785776999044738E-2</v>
      </c>
      <c r="L24" s="59">
        <f>SUM(L14:L22)</f>
        <v>981147.15941000008</v>
      </c>
      <c r="M24" s="49">
        <f>L24/$C$24</f>
        <v>3.9785776999044738E-2</v>
      </c>
      <c r="N24" s="59">
        <f>SUM(N14:N22)</f>
        <v>981147.15941000008</v>
      </c>
      <c r="O24" s="49">
        <f>N24/$C$24</f>
        <v>3.9785776999044738E-2</v>
      </c>
      <c r="P24" s="59">
        <f>SUM(P14:P22)</f>
        <v>981147.15941000008</v>
      </c>
      <c r="Q24" s="49">
        <f>P24/$C$24</f>
        <v>3.9785776999044738E-2</v>
      </c>
      <c r="R24" s="59">
        <f>SUM(R14:R22)</f>
        <v>981147.15941000008</v>
      </c>
      <c r="S24" s="49">
        <f>R24/$C$24</f>
        <v>3.9785776999044738E-2</v>
      </c>
      <c r="T24" s="59">
        <f>SUM(T14:T22)</f>
        <v>981147.15941000008</v>
      </c>
      <c r="U24" s="49">
        <f>T24/$C$24</f>
        <v>3.9785776999044738E-2</v>
      </c>
      <c r="V24" s="59">
        <f>SUM(V14:V22)</f>
        <v>981147.15941000008</v>
      </c>
      <c r="W24" s="49">
        <f>V24/$C$24</f>
        <v>3.9785776999044738E-2</v>
      </c>
      <c r="X24" s="59">
        <f>SUM(X14:X22)</f>
        <v>981147.15941000008</v>
      </c>
      <c r="Y24" s="49">
        <f>X24/$C$24</f>
        <v>3.9785776999044738E-2</v>
      </c>
      <c r="Z24" s="59">
        <f>SUM(Z14:Z22)</f>
        <v>981147.15941000008</v>
      </c>
      <c r="AA24" s="49">
        <f>Z24/$C$24</f>
        <v>3.9785776999044738E-2</v>
      </c>
      <c r="AB24" s="59">
        <f>SUM(AB14:AB22)</f>
        <v>981147.15941000008</v>
      </c>
      <c r="AC24" s="49">
        <f>AB24/$C$24</f>
        <v>3.9785776999044738E-2</v>
      </c>
      <c r="AD24" s="59">
        <f>SUM(AD14:AD22)</f>
        <v>981147.15941000008</v>
      </c>
      <c r="AE24" s="49">
        <f>AD24/$C$24</f>
        <v>3.9785776999044738E-2</v>
      </c>
      <c r="AF24" s="59">
        <f>SUM(AF14:AF22)</f>
        <v>981147.15941000008</v>
      </c>
      <c r="AG24" s="49">
        <f>AF24/$C$24</f>
        <v>3.9785776999044738E-2</v>
      </c>
      <c r="AH24" s="59">
        <f>SUM(AH14:AH22)</f>
        <v>981147.15941000008</v>
      </c>
      <c r="AI24" s="49">
        <f>AH24/$C$24</f>
        <v>3.9785776999044738E-2</v>
      </c>
      <c r="AJ24" s="59">
        <f>SUM(AJ14:AJ22)</f>
        <v>981147.15941000008</v>
      </c>
      <c r="AK24" s="49">
        <f>AJ24/$C$24</f>
        <v>3.9785776999044738E-2</v>
      </c>
      <c r="AL24" s="59">
        <f>SUM(AL14:AL22)</f>
        <v>981147.15941000008</v>
      </c>
      <c r="AM24" s="49">
        <f>AL24/$C$24</f>
        <v>3.9785776999044738E-2</v>
      </c>
      <c r="AN24" s="59">
        <f>SUM(AN14:AN22)</f>
        <v>981147.15941000008</v>
      </c>
      <c r="AO24" s="49">
        <f>AN24/$C$24</f>
        <v>3.9785776999044738E-2</v>
      </c>
      <c r="AP24" s="59">
        <f>SUM(AP14:AP22)</f>
        <v>981147.15941000008</v>
      </c>
      <c r="AQ24" s="49">
        <f>AP24/$C$24</f>
        <v>3.9785776999044738E-2</v>
      </c>
      <c r="AR24" s="59">
        <f>SUM(AR14:AR22)</f>
        <v>1226433.9399599999</v>
      </c>
      <c r="AS24" s="49">
        <f>AR24/$C$24</f>
        <v>4.9732220871587081E-2</v>
      </c>
      <c r="AT24" s="59">
        <f>SUM(AT14:AT22)</f>
        <v>1226433.9399599999</v>
      </c>
      <c r="AU24" s="49">
        <f>AT24/$C$24</f>
        <v>4.9732220871587081E-2</v>
      </c>
      <c r="AV24" s="59">
        <f>SUM(AV14:AV22)</f>
        <v>1226433.9399599999</v>
      </c>
      <c r="AW24" s="49">
        <f>AV24/$C$24</f>
        <v>4.9732220871587081E-2</v>
      </c>
      <c r="AX24" s="59">
        <f>SUM(AX14:AX22)</f>
        <v>1226433.9399599999</v>
      </c>
      <c r="AY24" s="49">
        <f>AX24/$C$24</f>
        <v>4.9732220871587081E-2</v>
      </c>
      <c r="AZ24" s="85">
        <f>C24</f>
        <v>24660751.489999995</v>
      </c>
      <c r="BA24" s="72">
        <f>+E24+G24+I24+K24+M24+O24+Q24+S24+U24+W24+Y24+AA24+AC24+AE24+AG24+AI24+AK24+AM24+AO24+AQ24+AS24+AU24+AW24+AY24</f>
        <v>1.0000000032943037</v>
      </c>
      <c r="BC24" s="64">
        <f>+D24+F24+H24+J24+L24+N24+P24+R24</f>
        <v>7981249.89848</v>
      </c>
    </row>
    <row r="25" spans="1:55" x14ac:dyDescent="0.25">
      <c r="A25" s="38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</row>
    <row r="26" spans="1:55" x14ac:dyDescent="0.25">
      <c r="A26" s="38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</row>
    <row r="27" spans="1:55" x14ac:dyDescent="0.25">
      <c r="A27" s="38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</row>
    <row r="28" spans="1:55" x14ac:dyDescent="0.25">
      <c r="A28" s="38"/>
      <c r="B28" s="60" t="s">
        <v>223</v>
      </c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</row>
    <row r="29" spans="1:55" x14ac:dyDescent="0.25">
      <c r="A29" s="38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</row>
    <row r="30" spans="1:55" x14ac:dyDescent="0.25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</row>
    <row r="31" spans="1:55" x14ac:dyDescent="0.25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</row>
  </sheetData>
  <mergeCells count="33">
    <mergeCell ref="AX11:AY11"/>
    <mergeCell ref="N11:O11"/>
    <mergeCell ref="AV11:AW11"/>
    <mergeCell ref="AP11:AQ11"/>
    <mergeCell ref="J11:K11"/>
    <mergeCell ref="AT11:AU11"/>
    <mergeCell ref="L11:M11"/>
    <mergeCell ref="AJ11:AK11"/>
    <mergeCell ref="AL11:AM11"/>
    <mergeCell ref="AN11:AO11"/>
    <mergeCell ref="P11:Q11"/>
    <mergeCell ref="AR11:AS11"/>
    <mergeCell ref="Z11:AA11"/>
    <mergeCell ref="AB11:AC11"/>
    <mergeCell ref="AD11:AE11"/>
    <mergeCell ref="AF11:AG11"/>
    <mergeCell ref="AH11:AI11"/>
    <mergeCell ref="B1:BA1"/>
    <mergeCell ref="B2:BA2"/>
    <mergeCell ref="R11:S11"/>
    <mergeCell ref="B5:AZ5"/>
    <mergeCell ref="A9:BA9"/>
    <mergeCell ref="A11:A12"/>
    <mergeCell ref="B11:B12"/>
    <mergeCell ref="C11:C12"/>
    <mergeCell ref="D11:E11"/>
    <mergeCell ref="F11:G11"/>
    <mergeCell ref="H11:I11"/>
    <mergeCell ref="AZ11:BA11"/>
    <mergeCell ref="B6:AZ6"/>
    <mergeCell ref="T11:U11"/>
    <mergeCell ref="V11:W11"/>
    <mergeCell ref="X11:Y11"/>
  </mergeCells>
  <pageMargins left="0.51181102362204722" right="0.51181102362204722" top="0.78740157480314965" bottom="0.78740157480314965" header="0.31496062992125984" footer="0.31496062992125984"/>
  <pageSetup paperSize="9" scale="24" orientation="landscape" r:id="rId1"/>
  <ignoredErrors>
    <ignoredError sqref="A20 A22" numberStoredAsText="1"/>
    <ignoredError sqref="E20 G20 I20 K20 M20 O20 Q20 S20 U20 W20 Y20 AA20 AC20 AE20 AG20 AI20 AK20 AM20 AO20 AQ20 AS20 AU20 AW20:AX20 E22 G22 I22 K22 M22 O22 Q22 S22 U22 W22 Y22 AA22 AC22 AE22 AG22 AI22 AK22 AM22 AO22 AQ22 AS22 AU22 AW22:AX22 E24 G24 I24 K24 M24 O24 Q24 S24 U24 W24 Y24 AA24 AC24 AE24 AG24 AI24 AK24 AM24 AO24 AQ24 AS24 AU24 AW24 AY24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ORÇAMENTO</vt:lpstr>
      <vt:lpstr>Cronograma</vt:lpstr>
      <vt:lpstr>Cronograma!Area_de_impressao</vt:lpstr>
      <vt:lpstr>ORÇAMENTO!Area_de_impressao</vt:lpstr>
      <vt:lpstr>Cronograma!Titulos_de_impressao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kf2_h23wq23@outlook.com</cp:lastModifiedBy>
  <cp:lastPrinted>2024-11-18T15:54:22Z</cp:lastPrinted>
  <dcterms:created xsi:type="dcterms:W3CDTF">1998-08-13T13:54:37Z</dcterms:created>
  <dcterms:modified xsi:type="dcterms:W3CDTF">2024-11-18T15:54:27Z</dcterms:modified>
</cp:coreProperties>
</file>